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610" windowHeight="11640" activeTab="2"/>
  </bookViews>
  <sheets>
    <sheet name="PHARMA CALL" sheetId="6" r:id="rId1"/>
    <sheet name="HOSPIMED" sheetId="7" r:id="rId2"/>
    <sheet name="NATURLÍDER" sheetId="9" r:id="rId3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1" i="7"/>
  <c r="G21" s="1"/>
  <c r="E20"/>
  <c r="G20" s="1"/>
  <c r="H131" i="9" l="1"/>
  <c r="H130"/>
  <c r="H129"/>
  <c r="H128"/>
  <c r="H127"/>
  <c r="H126"/>
  <c r="H125"/>
  <c r="H124"/>
  <c r="H123"/>
  <c r="H122"/>
  <c r="H121"/>
  <c r="H120"/>
  <c r="H119"/>
  <c r="H118"/>
  <c r="H117"/>
  <c r="H115"/>
  <c r="H114"/>
  <c r="H113"/>
  <c r="H112"/>
  <c r="H111"/>
  <c r="H110"/>
  <c r="H109"/>
  <c r="H108"/>
  <c r="H107"/>
  <c r="H106"/>
  <c r="H105"/>
  <c r="H104"/>
  <c r="H103"/>
  <c r="H102"/>
  <c r="H101"/>
  <c r="H100"/>
  <c r="H99"/>
  <c r="H97"/>
  <c r="H96"/>
  <c r="H95"/>
  <c r="H94"/>
  <c r="H93"/>
  <c r="H92"/>
  <c r="H91"/>
  <c r="H90"/>
  <c r="H89"/>
  <c r="H88"/>
  <c r="H87"/>
  <c r="H86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0"/>
  <c r="H29"/>
  <c r="H28"/>
  <c r="H27"/>
  <c r="H26"/>
  <c r="H25"/>
  <c r="H24"/>
  <c r="H23"/>
  <c r="H22"/>
  <c r="H21"/>
  <c r="H20"/>
  <c r="H19"/>
  <c r="H18"/>
  <c r="H17"/>
  <c r="H16"/>
  <c r="H15"/>
  <c r="H14"/>
  <c r="H132" l="1"/>
  <c r="G35" i="7"/>
  <c r="G34"/>
  <c r="E33"/>
  <c r="G33" s="1"/>
  <c r="E32"/>
  <c r="G32" s="1"/>
  <c r="E31"/>
  <c r="G31" s="1"/>
  <c r="E30"/>
  <c r="G30" s="1"/>
  <c r="G29"/>
  <c r="G28"/>
  <c r="G27"/>
  <c r="G26"/>
  <c r="G25"/>
  <c r="G24"/>
  <c r="E19"/>
  <c r="G19" s="1"/>
  <c r="E18"/>
  <c r="G18" s="1"/>
  <c r="E17"/>
  <c r="G17" s="1"/>
  <c r="E16"/>
  <c r="G16" s="1"/>
  <c r="E15"/>
  <c r="G15" s="1"/>
  <c r="E14"/>
  <c r="G14" s="1"/>
  <c r="E13"/>
  <c r="G13" s="1"/>
  <c r="E12"/>
  <c r="G12" s="1"/>
  <c r="G36" s="1"/>
  <c r="I853" i="6" l="1"/>
  <c r="E22"/>
  <c r="H19"/>
  <c r="H20"/>
  <c r="E814" l="1"/>
  <c r="J814" s="1"/>
  <c r="E555"/>
  <c r="J555" s="1"/>
  <c r="E813"/>
  <c r="J813" s="1"/>
  <c r="E164"/>
  <c r="J164" s="1"/>
  <c r="E60"/>
  <c r="J60" s="1"/>
  <c r="H470"/>
  <c r="J470" s="1"/>
  <c r="H469"/>
  <c r="J469" s="1"/>
  <c r="H468"/>
  <c r="J468" s="1"/>
  <c r="E288"/>
  <c r="J288" s="1"/>
  <c r="E287"/>
  <c r="J287" s="1"/>
  <c r="E286"/>
  <c r="J286" s="1"/>
  <c r="H315"/>
  <c r="J315" s="1"/>
  <c r="H726"/>
  <c r="J726" s="1"/>
  <c r="E427"/>
  <c r="J427" s="1"/>
  <c r="E332"/>
  <c r="E331"/>
  <c r="E330"/>
  <c r="E329"/>
  <c r="E328"/>
  <c r="E327"/>
  <c r="E326"/>
  <c r="E321"/>
  <c r="E320"/>
  <c r="E319"/>
  <c r="E318"/>
  <c r="H446" l="1"/>
  <c r="J446" s="1"/>
  <c r="H445"/>
  <c r="J445" s="1"/>
  <c r="H444"/>
  <c r="J444" s="1"/>
  <c r="H592"/>
  <c r="J592" s="1"/>
  <c r="H591"/>
  <c r="J591" s="1"/>
  <c r="H314" l="1"/>
  <c r="H313"/>
  <c r="H740"/>
  <c r="J740" s="1"/>
  <c r="E740"/>
  <c r="H357"/>
  <c r="J357" s="1"/>
  <c r="H173" l="1"/>
  <c r="J173" s="1"/>
  <c r="E664" l="1"/>
  <c r="E852"/>
  <c r="J852" s="1"/>
  <c r="E833"/>
  <c r="E818"/>
  <c r="J818" s="1"/>
  <c r="E817"/>
  <c r="J817" s="1"/>
  <c r="E556"/>
  <c r="J556" s="1"/>
  <c r="E558"/>
  <c r="J558" s="1"/>
  <c r="H540"/>
  <c r="J540" s="1"/>
  <c r="H539"/>
  <c r="J539" s="1"/>
  <c r="H538"/>
  <c r="J538" s="1"/>
  <c r="E72"/>
  <c r="E71"/>
  <c r="E535"/>
  <c r="E534"/>
  <c r="E628"/>
  <c r="J628" s="1"/>
  <c r="E627"/>
  <c r="J627" s="1"/>
  <c r="H63"/>
  <c r="J63" s="1"/>
  <c r="H62"/>
  <c r="J62" s="1"/>
  <c r="H61"/>
  <c r="J61" s="1"/>
  <c r="H68"/>
  <c r="J68" s="1"/>
  <c r="H67"/>
  <c r="J67" s="1"/>
  <c r="H66"/>
  <c r="J66" s="1"/>
  <c r="E560"/>
  <c r="J560" s="1"/>
  <c r="H458"/>
  <c r="J458" s="1"/>
  <c r="H596"/>
  <c r="J596" s="1"/>
  <c r="H594" l="1"/>
  <c r="J594" s="1"/>
  <c r="E237"/>
  <c r="H647"/>
  <c r="J647" s="1"/>
  <c r="E646"/>
  <c r="J646" s="1"/>
  <c r="H351" l="1"/>
  <c r="J351" s="1"/>
  <c r="H252"/>
  <c r="J252" s="1"/>
  <c r="H181"/>
  <c r="J181" s="1"/>
  <c r="H180"/>
  <c r="J180" s="1"/>
  <c r="H179"/>
  <c r="J179" s="1"/>
  <c r="E683"/>
  <c r="E682"/>
  <c r="J682" s="1"/>
  <c r="E681"/>
  <c r="J681" s="1"/>
  <c r="J146"/>
  <c r="H146"/>
  <c r="H597"/>
  <c r="J597" s="1"/>
  <c r="H170" l="1"/>
  <c r="J170" s="1"/>
  <c r="E790"/>
  <c r="E797" l="1"/>
  <c r="E786"/>
  <c r="E784"/>
  <c r="E851" l="1"/>
  <c r="J851" s="1"/>
  <c r="E630"/>
  <c r="H425"/>
  <c r="J425" s="1"/>
  <c r="J535"/>
  <c r="J534"/>
  <c r="E671" l="1"/>
  <c r="J671" s="1"/>
  <c r="E670"/>
  <c r="J670" s="1"/>
  <c r="E668"/>
  <c r="J668" s="1"/>
  <c r="E667"/>
  <c r="E666"/>
  <c r="H599"/>
  <c r="J599" s="1"/>
  <c r="E675" l="1"/>
  <c r="J675" s="1"/>
  <c r="E674"/>
  <c r="J674" s="1"/>
  <c r="E673"/>
  <c r="J673" s="1"/>
  <c r="E499"/>
  <c r="J499" s="1"/>
  <c r="E498"/>
  <c r="J498" s="1"/>
  <c r="H589"/>
  <c r="J589" s="1"/>
  <c r="E378"/>
  <c r="J378" s="1"/>
  <c r="E377"/>
  <c r="J377" s="1"/>
  <c r="E467" l="1"/>
  <c r="J467" s="1"/>
  <c r="H467"/>
  <c r="H423"/>
  <c r="J423" s="1"/>
  <c r="H422"/>
  <c r="J422" s="1"/>
  <c r="E821"/>
  <c r="E820"/>
  <c r="J821" l="1"/>
  <c r="J820"/>
  <c r="E653"/>
  <c r="J653" s="1"/>
  <c r="E792" l="1"/>
  <c r="J792" s="1"/>
  <c r="H308" l="1"/>
  <c r="J308" s="1"/>
  <c r="H426" l="1"/>
  <c r="J426" s="1"/>
  <c r="H424"/>
  <c r="J424" s="1"/>
  <c r="E776" l="1"/>
  <c r="J776" s="1"/>
  <c r="E775"/>
  <c r="J775" s="1"/>
  <c r="E774"/>
  <c r="J774" s="1"/>
  <c r="E768"/>
  <c r="J768" s="1"/>
  <c r="E773"/>
  <c r="J773" s="1"/>
  <c r="E629"/>
  <c r="H815"/>
  <c r="J815" s="1"/>
  <c r="H746"/>
  <c r="J746" s="1"/>
  <c r="H745"/>
  <c r="J745" s="1"/>
  <c r="H744"/>
  <c r="J744" s="1"/>
  <c r="E206" l="1"/>
  <c r="E644"/>
  <c r="J644" s="1"/>
  <c r="E799" l="1"/>
  <c r="E205"/>
  <c r="E204"/>
  <c r="H95"/>
  <c r="J95" s="1"/>
  <c r="H94"/>
  <c r="J94" s="1"/>
  <c r="H93"/>
  <c r="J93" s="1"/>
  <c r="E264"/>
  <c r="H643"/>
  <c r="J643" s="1"/>
  <c r="H642"/>
  <c r="J642" s="1"/>
  <c r="H641"/>
  <c r="J641" s="1"/>
  <c r="H640"/>
  <c r="J640" s="1"/>
  <c r="H639"/>
  <c r="J639" s="1"/>
  <c r="E743"/>
  <c r="H225"/>
  <c r="J225" s="1"/>
  <c r="H224"/>
  <c r="J224" s="1"/>
  <c r="H223"/>
  <c r="J223" s="1"/>
  <c r="E277"/>
  <c r="J277" s="1"/>
  <c r="E276"/>
  <c r="J276" s="1"/>
  <c r="E291"/>
  <c r="J291" s="1"/>
  <c r="E290"/>
  <c r="J290" s="1"/>
  <c r="E289"/>
  <c r="J289" s="1"/>
  <c r="H732" l="1"/>
  <c r="J732" s="1"/>
  <c r="H211"/>
  <c r="J211" s="1"/>
  <c r="H153"/>
  <c r="J153" s="1"/>
  <c r="H152"/>
  <c r="J152" s="1"/>
  <c r="J784" l="1"/>
  <c r="E783"/>
  <c r="J783" s="1"/>
  <c r="H212" l="1"/>
  <c r="J212" s="1"/>
  <c r="H574"/>
  <c r="J574" s="1"/>
  <c r="E826" l="1"/>
  <c r="J826" s="1"/>
  <c r="E825"/>
  <c r="J825" s="1"/>
  <c r="E824"/>
  <c r="J824" s="1"/>
  <c r="E823"/>
  <c r="J823" s="1"/>
  <c r="E850" l="1"/>
  <c r="J850" s="1"/>
  <c r="E849"/>
  <c r="J849" s="1"/>
  <c r="H130"/>
  <c r="J130" s="1"/>
  <c r="E590"/>
  <c r="J590" s="1"/>
  <c r="E325" l="1"/>
  <c r="J325" s="1"/>
  <c r="E324"/>
  <c r="J324" s="1"/>
  <c r="H812" l="1"/>
  <c r="J812" s="1"/>
  <c r="E793"/>
  <c r="E791" l="1"/>
  <c r="E491" l="1"/>
  <c r="E239"/>
  <c r="J239" s="1"/>
  <c r="E238"/>
  <c r="J238" s="1"/>
  <c r="J237"/>
  <c r="H573"/>
  <c r="J573" s="1"/>
  <c r="H528" l="1"/>
  <c r="E436"/>
  <c r="E435"/>
  <c r="E434"/>
  <c r="E433"/>
  <c r="E432"/>
  <c r="E431"/>
  <c r="E430"/>
  <c r="E429"/>
  <c r="E428"/>
  <c r="H510"/>
  <c r="J510" s="1"/>
  <c r="E781"/>
  <c r="J781" s="1"/>
  <c r="E780"/>
  <c r="J780" s="1"/>
  <c r="E779"/>
  <c r="J779" s="1"/>
  <c r="E778"/>
  <c r="J778" s="1"/>
  <c r="E777"/>
  <c r="J777" s="1"/>
  <c r="H645" l="1"/>
  <c r="J645" s="1"/>
  <c r="E608"/>
  <c r="J608" s="1"/>
  <c r="H661"/>
  <c r="J661" s="1"/>
  <c r="H660"/>
  <c r="J660" s="1"/>
  <c r="H659"/>
  <c r="J659" s="1"/>
  <c r="H658"/>
  <c r="J658" s="1"/>
  <c r="H657"/>
  <c r="J657" s="1"/>
  <c r="E275" l="1"/>
  <c r="J275" s="1"/>
  <c r="E274"/>
  <c r="J274" s="1"/>
  <c r="E273"/>
  <c r="J273" s="1"/>
  <c r="H694"/>
  <c r="J694" s="1"/>
  <c r="H693"/>
  <c r="J693" s="1"/>
  <c r="H692"/>
  <c r="J692" s="1"/>
  <c r="H691"/>
  <c r="J691" s="1"/>
  <c r="H301"/>
  <c r="J301" s="1"/>
  <c r="H438"/>
  <c r="J438" s="1"/>
  <c r="H598"/>
  <c r="J598" s="1"/>
  <c r="H472"/>
  <c r="J472" s="1"/>
  <c r="H471"/>
  <c r="J471" s="1"/>
  <c r="H210"/>
  <c r="J210" s="1"/>
  <c r="H576"/>
  <c r="J576" s="1"/>
  <c r="H697"/>
  <c r="J697" s="1"/>
  <c r="H339"/>
  <c r="J339" s="1"/>
  <c r="H738"/>
  <c r="J738" s="1"/>
  <c r="H737"/>
  <c r="J737" s="1"/>
  <c r="E738"/>
  <c r="E737"/>
  <c r="H517"/>
  <c r="J517" s="1"/>
  <c r="H516"/>
  <c r="J516" s="1"/>
  <c r="H515"/>
  <c r="J515" s="1"/>
  <c r="H364" l="1"/>
  <c r="J364" s="1"/>
  <c r="H689"/>
  <c r="J689" s="1"/>
  <c r="H595"/>
  <c r="J595" s="1"/>
  <c r="E680" l="1"/>
  <c r="H572"/>
  <c r="J572" s="1"/>
  <c r="H571"/>
  <c r="J571" s="1"/>
  <c r="H570"/>
  <c r="J570" s="1"/>
  <c r="H92" l="1"/>
  <c r="J92" s="1"/>
  <c r="H593" l="1"/>
  <c r="J593" s="1"/>
  <c r="E769" l="1"/>
  <c r="J769" s="1"/>
  <c r="E772"/>
  <c r="J772" s="1"/>
  <c r="E801" l="1"/>
  <c r="E706" l="1"/>
  <c r="J706" s="1"/>
  <c r="H711"/>
  <c r="J711" s="1"/>
  <c r="H710"/>
  <c r="J710" s="1"/>
  <c r="J328"/>
  <c r="J327"/>
  <c r="J321"/>
  <c r="J320"/>
  <c r="J319"/>
  <c r="H322"/>
  <c r="E322"/>
  <c r="E282" l="1"/>
  <c r="J282" s="1"/>
  <c r="E281"/>
  <c r="J281" s="1"/>
  <c r="J280"/>
  <c r="H158" l="1"/>
  <c r="J158"/>
  <c r="E26"/>
  <c r="E25"/>
  <c r="E24"/>
  <c r="E23"/>
  <c r="H29"/>
  <c r="J29" s="1"/>
  <c r="H65"/>
  <c r="J65" s="1"/>
  <c r="E705" l="1"/>
  <c r="J705" s="1"/>
  <c r="J330" l="1"/>
  <c r="J332"/>
  <c r="J331"/>
  <c r="E487"/>
  <c r="J487" s="1"/>
  <c r="E484"/>
  <c r="J484" s="1"/>
  <c r="E338" l="1"/>
  <c r="E485"/>
  <c r="E483"/>
  <c r="E482"/>
  <c r="E679"/>
  <c r="E839"/>
  <c r="H567"/>
  <c r="J567" s="1"/>
  <c r="E848"/>
  <c r="E834"/>
  <c r="E828"/>
  <c r="H709"/>
  <c r="E830" l="1"/>
  <c r="E632"/>
  <c r="E631"/>
  <c r="H360"/>
  <c r="J360" s="1"/>
  <c r="H359"/>
  <c r="J359" s="1"/>
  <c r="H358"/>
  <c r="J358" s="1"/>
  <c r="H356"/>
  <c r="J356" s="1"/>
  <c r="H361"/>
  <c r="J361" s="1"/>
  <c r="H362"/>
  <c r="J362" s="1"/>
  <c r="H366"/>
  <c r="J366" s="1"/>
  <c r="E747"/>
  <c r="J848" l="1"/>
  <c r="E847"/>
  <c r="J847" s="1"/>
  <c r="H453"/>
  <c r="J453" s="1"/>
  <c r="H568" l="1"/>
  <c r="J568" s="1"/>
  <c r="H566"/>
  <c r="J566" s="1"/>
  <c r="H565"/>
  <c r="J565" s="1"/>
  <c r="H564"/>
  <c r="J564" s="1"/>
  <c r="H563"/>
  <c r="J563" s="1"/>
  <c r="E771" l="1"/>
  <c r="J771" s="1"/>
  <c r="E770"/>
  <c r="J770" s="1"/>
  <c r="E767"/>
  <c r="J767" s="1"/>
  <c r="E766"/>
  <c r="J766" s="1"/>
  <c r="E765"/>
  <c r="J765" s="1"/>
  <c r="E742" l="1"/>
  <c r="E741" l="1"/>
  <c r="E102" l="1"/>
  <c r="E101"/>
  <c r="E99"/>
  <c r="E846" l="1"/>
  <c r="J846" s="1"/>
  <c r="E652" l="1"/>
  <c r="J652" s="1"/>
  <c r="E651"/>
  <c r="J651" s="1"/>
  <c r="H478"/>
  <c r="H477"/>
  <c r="H476"/>
  <c r="H475"/>
  <c r="J475" s="1"/>
  <c r="E162"/>
  <c r="J162" s="1"/>
  <c r="E161"/>
  <c r="J161" s="1"/>
  <c r="E103"/>
  <c r="H333"/>
  <c r="J333" s="1"/>
  <c r="H272"/>
  <c r="J272" s="1"/>
  <c r="H271"/>
  <c r="J271" s="1"/>
  <c r="H270"/>
  <c r="J270" s="1"/>
  <c r="H269"/>
  <c r="J269" s="1"/>
  <c r="H268"/>
  <c r="J268" s="1"/>
  <c r="H267"/>
  <c r="J267" s="1"/>
  <c r="H548"/>
  <c r="J548" s="1"/>
  <c r="H547"/>
  <c r="J547" s="1"/>
  <c r="H546"/>
  <c r="J546" s="1"/>
  <c r="H544"/>
  <c r="J544" s="1"/>
  <c r="H543"/>
  <c r="J543" s="1"/>
  <c r="H542"/>
  <c r="J542" s="1"/>
  <c r="H266" l="1"/>
  <c r="J266" s="1"/>
  <c r="E845" l="1"/>
  <c r="J845" s="1"/>
  <c r="H520"/>
  <c r="J520" s="1"/>
  <c r="H518" l="1"/>
  <c r="J518" s="1"/>
  <c r="H514"/>
  <c r="J514" s="1"/>
  <c r="H513"/>
  <c r="J513" s="1"/>
  <c r="H577"/>
  <c r="J577" s="1"/>
  <c r="H575"/>
  <c r="J575" s="1"/>
  <c r="J322"/>
  <c r="E100"/>
  <c r="J100" s="1"/>
  <c r="E284" l="1"/>
  <c r="E283"/>
  <c r="E800"/>
  <c r="E798"/>
  <c r="H412" l="1"/>
  <c r="J412" s="1"/>
  <c r="H411"/>
  <c r="J411" s="1"/>
  <c r="H410"/>
  <c r="J410" s="1"/>
  <c r="H409"/>
  <c r="J409" s="1"/>
  <c r="H408"/>
  <c r="J408" s="1"/>
  <c r="J801" l="1"/>
  <c r="J800"/>
  <c r="H804" l="1"/>
  <c r="J804" s="1"/>
  <c r="H344" l="1"/>
  <c r="J344" s="1"/>
  <c r="H707" l="1"/>
  <c r="J707" s="1"/>
  <c r="E336" l="1"/>
  <c r="E335"/>
  <c r="H530" l="1"/>
  <c r="J530" s="1"/>
  <c r="H529"/>
  <c r="J529" s="1"/>
  <c r="H526"/>
  <c r="H525"/>
  <c r="H524"/>
  <c r="H523"/>
  <c r="H522"/>
  <c r="H527"/>
  <c r="J679" l="1"/>
  <c r="E748" l="1"/>
  <c r="J748" s="1"/>
  <c r="J747"/>
  <c r="J752"/>
  <c r="J743"/>
  <c r="E553" l="1"/>
  <c r="J553" s="1"/>
  <c r="E764" l="1"/>
  <c r="J764" s="1"/>
  <c r="E763"/>
  <c r="J763" s="1"/>
  <c r="E762"/>
  <c r="J762" s="1"/>
  <c r="E259" l="1"/>
  <c r="E285" l="1"/>
  <c r="J285" s="1"/>
  <c r="E844" l="1"/>
  <c r="J844" s="1"/>
  <c r="E761" l="1"/>
  <c r="J761" s="1"/>
  <c r="E760"/>
  <c r="J760" s="1"/>
  <c r="E759"/>
  <c r="J759" s="1"/>
  <c r="E758"/>
  <c r="J758" s="1"/>
  <c r="E757"/>
  <c r="J757" s="1"/>
  <c r="E756"/>
  <c r="J756" s="1"/>
  <c r="H584" l="1"/>
  <c r="J584" s="1"/>
  <c r="H585"/>
  <c r="J585" s="1"/>
  <c r="H586"/>
  <c r="J586" s="1"/>
  <c r="E808" l="1"/>
  <c r="J808" s="1"/>
  <c r="E807"/>
  <c r="J807" s="1"/>
  <c r="E810" l="1"/>
  <c r="E809"/>
  <c r="J809" s="1"/>
  <c r="H582" l="1"/>
  <c r="J582" s="1"/>
  <c r="E669" l="1"/>
  <c r="E672"/>
  <c r="H588" l="1"/>
  <c r="J588" s="1"/>
  <c r="H587"/>
  <c r="J587" s="1"/>
  <c r="H583"/>
  <c r="J583" s="1"/>
  <c r="H581"/>
  <c r="J581" s="1"/>
  <c r="E323" l="1"/>
  <c r="E806" l="1"/>
  <c r="J806" s="1"/>
  <c r="E805"/>
  <c r="J805" s="1"/>
  <c r="J810" l="1"/>
  <c r="H450" l="1"/>
  <c r="J450" s="1"/>
  <c r="H449"/>
  <c r="J449" s="1"/>
  <c r="H615" l="1"/>
  <c r="J615" s="1"/>
  <c r="J102" l="1"/>
  <c r="J101"/>
  <c r="J99"/>
  <c r="H208" l="1"/>
  <c r="J208" s="1"/>
  <c r="H500" l="1"/>
  <c r="J500" s="1"/>
  <c r="H497"/>
  <c r="J497" s="1"/>
  <c r="H496"/>
  <c r="J496" s="1"/>
  <c r="H495"/>
  <c r="J495" s="1"/>
  <c r="J799" l="1"/>
  <c r="J798"/>
  <c r="J259" l="1"/>
  <c r="E279"/>
  <c r="J279" s="1"/>
  <c r="E278"/>
  <c r="J278" s="1"/>
  <c r="E265" l="1"/>
  <c r="J265" s="1"/>
  <c r="H448" l="1"/>
  <c r="J448" s="1"/>
  <c r="H447"/>
  <c r="J447" s="1"/>
  <c r="H696" l="1"/>
  <c r="J696" s="1"/>
  <c r="H695"/>
  <c r="J695" s="1"/>
  <c r="H690"/>
  <c r="J690" s="1"/>
  <c r="J793" l="1"/>
  <c r="E794"/>
  <c r="J794" s="1"/>
  <c r="J664" l="1"/>
  <c r="H753" l="1"/>
  <c r="J753" s="1"/>
  <c r="H751"/>
  <c r="J751" s="1"/>
  <c r="H750"/>
  <c r="J750" s="1"/>
  <c r="H749"/>
  <c r="J749" s="1"/>
  <c r="H754"/>
  <c r="J754" s="1"/>
  <c r="J742"/>
  <c r="J741"/>
  <c r="E739"/>
  <c r="J739" s="1"/>
  <c r="J284" l="1"/>
  <c r="J145" l="1"/>
  <c r="H145"/>
  <c r="J144"/>
  <c r="H144"/>
  <c r="J143"/>
  <c r="H143"/>
  <c r="J142"/>
  <c r="H142"/>
  <c r="H141"/>
  <c r="H140"/>
  <c r="E532" l="1"/>
  <c r="J532" s="1"/>
  <c r="H600" l="1"/>
  <c r="J600" s="1"/>
  <c r="H580"/>
  <c r="J580" s="1"/>
  <c r="H579"/>
  <c r="J579" s="1"/>
  <c r="H578"/>
  <c r="J578" s="1"/>
  <c r="H371" l="1"/>
  <c r="J371" s="1"/>
  <c r="H370"/>
  <c r="J370" s="1"/>
  <c r="H369"/>
  <c r="J369" s="1"/>
  <c r="H368"/>
  <c r="J368" s="1"/>
  <c r="H367"/>
  <c r="J367" s="1"/>
  <c r="J476" l="1"/>
  <c r="J528" l="1"/>
  <c r="J527"/>
  <c r="J526"/>
  <c r="J525"/>
  <c r="J524"/>
  <c r="J523"/>
  <c r="J522"/>
  <c r="E663" l="1"/>
  <c r="J663" s="1"/>
  <c r="E662"/>
  <c r="J662" s="1"/>
  <c r="E735" l="1"/>
  <c r="J735" s="1"/>
  <c r="J478" l="1"/>
  <c r="H480"/>
  <c r="J480" s="1"/>
  <c r="H479"/>
  <c r="J479" s="1"/>
  <c r="J477"/>
  <c r="H474"/>
  <c r="J474" s="1"/>
  <c r="E439" l="1"/>
  <c r="J439" s="1"/>
  <c r="J791" l="1"/>
  <c r="E803" l="1"/>
  <c r="H76" l="1"/>
  <c r="J76" s="1"/>
  <c r="H218" l="1"/>
  <c r="J218" s="1"/>
  <c r="H227" l="1"/>
  <c r="J227" s="1"/>
  <c r="H217"/>
  <c r="J217" s="1"/>
  <c r="E625" l="1"/>
  <c r="E831" l="1"/>
  <c r="J436" l="1"/>
  <c r="J435"/>
  <c r="J434"/>
  <c r="J433"/>
  <c r="J432"/>
  <c r="J431"/>
  <c r="J430"/>
  <c r="J429"/>
  <c r="J672" l="1"/>
  <c r="H216" l="1"/>
  <c r="J216" s="1"/>
  <c r="H215"/>
  <c r="J215" s="1"/>
  <c r="H91" l="1"/>
  <c r="J91" s="1"/>
  <c r="J790" l="1"/>
  <c r="E843" l="1"/>
  <c r="J843" s="1"/>
  <c r="E842"/>
  <c r="E841"/>
  <c r="E838"/>
  <c r="E835"/>
  <c r="E604" l="1"/>
  <c r="J604" s="1"/>
  <c r="E603"/>
  <c r="J603" s="1"/>
  <c r="E602"/>
  <c r="J602" s="1"/>
  <c r="H175" l="1"/>
  <c r="J175" s="1"/>
  <c r="J283" l="1"/>
  <c r="H702" l="1"/>
  <c r="J702" s="1"/>
  <c r="E836" l="1"/>
  <c r="J26" l="1"/>
  <c r="J25"/>
  <c r="J24"/>
  <c r="J23"/>
  <c r="J22"/>
  <c r="E789" l="1"/>
  <c r="J789" s="1"/>
  <c r="H562" l="1"/>
  <c r="J562" s="1"/>
  <c r="E802" l="1"/>
  <c r="J802" s="1"/>
  <c r="H47" l="1"/>
  <c r="J47" s="1"/>
  <c r="H46"/>
  <c r="J46" s="1"/>
  <c r="H45"/>
  <c r="J45" s="1"/>
  <c r="H44"/>
  <c r="J44" s="1"/>
  <c r="J683" l="1"/>
  <c r="J680"/>
  <c r="J632" l="1"/>
  <c r="J842" l="1"/>
  <c r="J841"/>
  <c r="J803" l="1"/>
  <c r="J797"/>
  <c r="E796"/>
  <c r="J796" s="1"/>
  <c r="E788"/>
  <c r="J788" s="1"/>
  <c r="E787"/>
  <c r="J787" s="1"/>
  <c r="J786"/>
  <c r="E785"/>
  <c r="J785" s="1"/>
  <c r="E736"/>
  <c r="J736" s="1"/>
  <c r="H703" l="1"/>
  <c r="J703" s="1"/>
  <c r="H701"/>
  <c r="J701" s="1"/>
  <c r="H700"/>
  <c r="J700" s="1"/>
  <c r="H699"/>
  <c r="J699" s="1"/>
  <c r="E551" l="1"/>
  <c r="J551" s="1"/>
  <c r="E678" l="1"/>
  <c r="J678" s="1"/>
  <c r="E677"/>
  <c r="J677" s="1"/>
  <c r="E676"/>
  <c r="J676" s="1"/>
  <c r="H78" l="1"/>
  <c r="J78" s="1"/>
  <c r="J428" l="1"/>
  <c r="H355" l="1"/>
  <c r="J355" s="1"/>
  <c r="H303" l="1"/>
  <c r="J303" s="1"/>
  <c r="H302"/>
  <c r="J302" s="1"/>
  <c r="J631" l="1"/>
  <c r="E550"/>
  <c r="H648" l="1"/>
  <c r="J648" s="1"/>
  <c r="H254" l="1"/>
  <c r="J254" s="1"/>
  <c r="H508" l="1"/>
  <c r="J508" s="1"/>
  <c r="E840" l="1"/>
  <c r="J840" l="1"/>
  <c r="E636" l="1"/>
  <c r="J636" s="1"/>
  <c r="E635"/>
  <c r="E634"/>
  <c r="E258" l="1"/>
  <c r="J258" s="1"/>
  <c r="E257"/>
  <c r="J257" s="1"/>
  <c r="E256"/>
  <c r="J256" s="1"/>
  <c r="J72" l="1"/>
  <c r="J71"/>
  <c r="J839" l="1"/>
  <c r="J264" l="1"/>
  <c r="E263"/>
  <c r="J263" s="1"/>
  <c r="E262"/>
  <c r="J262" s="1"/>
  <c r="J550" l="1"/>
  <c r="H375" l="1"/>
  <c r="J375" s="1"/>
  <c r="E832" l="1"/>
  <c r="H614" l="1"/>
  <c r="J614" s="1"/>
  <c r="H688" l="1"/>
  <c r="J688" s="1"/>
  <c r="H687"/>
  <c r="J687" s="1"/>
  <c r="H686"/>
  <c r="J686" s="1"/>
  <c r="H685"/>
  <c r="J685" s="1"/>
  <c r="H194" l="1"/>
  <c r="H193"/>
  <c r="J194" l="1"/>
  <c r="J193"/>
  <c r="H374" l="1"/>
  <c r="J374" s="1"/>
  <c r="H373"/>
  <c r="J373" s="1"/>
  <c r="J838" l="1"/>
  <c r="H102" l="1"/>
  <c r="H101"/>
  <c r="E18" l="1"/>
  <c r="J18" s="1"/>
  <c r="E17"/>
  <c r="J17" s="1"/>
  <c r="E16"/>
  <c r="J16" s="1"/>
  <c r="E15"/>
  <c r="J15" s="1"/>
  <c r="E14"/>
  <c r="J14" s="1"/>
  <c r="E13"/>
  <c r="J13" s="1"/>
  <c r="J20"/>
  <c r="J19"/>
  <c r="H18"/>
  <c r="H17"/>
  <c r="H16"/>
  <c r="H15"/>
  <c r="H14"/>
  <c r="H13"/>
  <c r="H511" l="1"/>
  <c r="J511" s="1"/>
  <c r="H509"/>
  <c r="J509" s="1"/>
  <c r="H507"/>
  <c r="J507" s="1"/>
  <c r="H506"/>
  <c r="J506" s="1"/>
  <c r="H713" l="1"/>
  <c r="J713" s="1"/>
  <c r="H169" l="1"/>
  <c r="J169" s="1"/>
  <c r="J667" l="1"/>
  <c r="H174" l="1"/>
  <c r="J174" s="1"/>
  <c r="H621" l="1"/>
  <c r="J621" s="1"/>
  <c r="J329" l="1"/>
  <c r="J326"/>
  <c r="J318"/>
  <c r="H82" l="1"/>
  <c r="J82" s="1"/>
  <c r="H90" l="1"/>
  <c r="J90" s="1"/>
  <c r="H89"/>
  <c r="J89" s="1"/>
  <c r="H88"/>
  <c r="J88" s="1"/>
  <c r="H87"/>
  <c r="J87" s="1"/>
  <c r="H219" l="1"/>
  <c r="H214"/>
  <c r="H231"/>
  <c r="H230"/>
  <c r="H229"/>
  <c r="H228"/>
  <c r="H168" l="1"/>
  <c r="J168" s="1"/>
  <c r="J669" l="1"/>
  <c r="J323" l="1"/>
  <c r="E626" l="1"/>
  <c r="J625"/>
  <c r="H226" l="1"/>
  <c r="J226" s="1"/>
  <c r="H222"/>
  <c r="J222" s="1"/>
  <c r="H221"/>
  <c r="J221" s="1"/>
  <c r="H220"/>
  <c r="J220" s="1"/>
  <c r="H97" l="1"/>
  <c r="J97" s="1"/>
  <c r="H96"/>
  <c r="J96" s="1"/>
  <c r="H80" l="1"/>
  <c r="J80" s="1"/>
  <c r="H505" l="1"/>
  <c r="J505" s="1"/>
  <c r="H503" l="1"/>
  <c r="H502"/>
  <c r="E503"/>
  <c r="J503" s="1"/>
  <c r="E502"/>
  <c r="J502" s="1"/>
  <c r="H167" l="1"/>
  <c r="J167" s="1"/>
  <c r="H536" l="1"/>
  <c r="J536" s="1"/>
  <c r="J141" l="1"/>
  <c r="J140"/>
  <c r="H197" l="1"/>
  <c r="J197" s="1"/>
  <c r="H86" l="1"/>
  <c r="J86" s="1"/>
  <c r="H85"/>
  <c r="J85" s="1"/>
  <c r="H84"/>
  <c r="J84" s="1"/>
  <c r="H249" l="1"/>
  <c r="J249" s="1"/>
  <c r="H83" l="1"/>
  <c r="J83" s="1"/>
  <c r="H81"/>
  <c r="J81" s="1"/>
  <c r="H79"/>
  <c r="J79" s="1"/>
  <c r="H77"/>
  <c r="J77" s="1"/>
  <c r="H75"/>
  <c r="J75" s="1"/>
  <c r="H74"/>
  <c r="J74" s="1"/>
  <c r="H196" l="1"/>
  <c r="J196" s="1"/>
  <c r="J635" l="1"/>
  <c r="J634"/>
  <c r="E624"/>
  <c r="J624" s="1"/>
  <c r="E623"/>
  <c r="H51" l="1"/>
  <c r="J51" s="1"/>
  <c r="H656" l="1"/>
  <c r="J656" s="1"/>
  <c r="H177" l="1"/>
  <c r="J177" s="1"/>
  <c r="H176"/>
  <c r="J176" s="1"/>
  <c r="E486" l="1"/>
  <c r="J336" l="1"/>
  <c r="H354" l="1"/>
  <c r="J354" s="1"/>
  <c r="H253" l="1"/>
  <c r="J253" s="1"/>
  <c r="H462" l="1"/>
  <c r="J462" s="1"/>
  <c r="H461"/>
  <c r="J461" s="1"/>
  <c r="H460"/>
  <c r="J460" s="1"/>
  <c r="H459"/>
  <c r="J459" s="1"/>
  <c r="H457"/>
  <c r="J457" s="1"/>
  <c r="H731" l="1"/>
  <c r="J731" s="1"/>
  <c r="J230" l="1"/>
  <c r="J229"/>
  <c r="J228"/>
  <c r="J219"/>
  <c r="E292" l="1"/>
  <c r="J292" s="1"/>
  <c r="E261"/>
  <c r="J261" s="1"/>
  <c r="H720" l="1"/>
  <c r="J720" s="1"/>
  <c r="H182" l="1"/>
  <c r="J182" s="1"/>
  <c r="H178"/>
  <c r="J178" s="1"/>
  <c r="H407" l="1"/>
  <c r="J407" s="1"/>
  <c r="H406"/>
  <c r="J406" s="1"/>
  <c r="H405"/>
  <c r="J405" s="1"/>
  <c r="E837" l="1"/>
  <c r="J837" l="1"/>
  <c r="J836"/>
  <c r="E337" l="1"/>
  <c r="H620" l="1"/>
  <c r="J620" s="1"/>
  <c r="H619"/>
  <c r="J619" s="1"/>
  <c r="H618"/>
  <c r="J618" s="1"/>
  <c r="H617"/>
  <c r="J617" s="1"/>
  <c r="H616"/>
  <c r="J616" s="1"/>
  <c r="H613"/>
  <c r="J613" s="1"/>
  <c r="H612"/>
  <c r="J612" s="1"/>
  <c r="E611"/>
  <c r="J611" s="1"/>
  <c r="H610"/>
  <c r="J610" s="1"/>
  <c r="H609"/>
  <c r="J609" s="1"/>
  <c r="H649" l="1"/>
  <c r="J649" s="1"/>
  <c r="H149" l="1"/>
  <c r="J149" s="1"/>
  <c r="H712" l="1"/>
  <c r="J712" s="1"/>
  <c r="H421" l="1"/>
  <c r="J421" s="1"/>
  <c r="H638" l="1"/>
  <c r="J638" s="1"/>
  <c r="H155" l="1"/>
  <c r="J155" s="1"/>
  <c r="H154"/>
  <c r="J154" s="1"/>
  <c r="H148" l="1"/>
  <c r="J231" l="1"/>
  <c r="J214"/>
  <c r="H151" l="1"/>
  <c r="J151" s="1"/>
  <c r="H150"/>
  <c r="J150" s="1"/>
  <c r="J148"/>
  <c r="J666" l="1"/>
  <c r="H730" l="1"/>
  <c r="J730" s="1"/>
  <c r="H729"/>
  <c r="J729" s="1"/>
  <c r="H728"/>
  <c r="J728" s="1"/>
  <c r="H719" l="1"/>
  <c r="J719" s="1"/>
  <c r="H718"/>
  <c r="J718" s="1"/>
  <c r="H147" l="1"/>
  <c r="J147" s="1"/>
  <c r="H139"/>
  <c r="J139" s="1"/>
  <c r="H138"/>
  <c r="J138" s="1"/>
  <c r="H137"/>
  <c r="J137" s="1"/>
  <c r="H136"/>
  <c r="J136" s="1"/>
  <c r="H135"/>
  <c r="J135" s="1"/>
  <c r="H134"/>
  <c r="J134" s="1"/>
  <c r="H133"/>
  <c r="J133" s="1"/>
  <c r="H132"/>
  <c r="J132" s="1"/>
  <c r="H131"/>
  <c r="J131" s="1"/>
  <c r="H129"/>
  <c r="J129" s="1"/>
  <c r="H128"/>
  <c r="J128" s="1"/>
  <c r="H127"/>
  <c r="J127" s="1"/>
  <c r="H126"/>
  <c r="J126" s="1"/>
  <c r="H125"/>
  <c r="J125" s="1"/>
  <c r="H124"/>
  <c r="J124" s="1"/>
  <c r="H123"/>
  <c r="J123" s="1"/>
  <c r="H122"/>
  <c r="J122" s="1"/>
  <c r="H121"/>
  <c r="J121" s="1"/>
  <c r="H120"/>
  <c r="J120" s="1"/>
  <c r="H119"/>
  <c r="J119" s="1"/>
  <c r="H118"/>
  <c r="J118" s="1"/>
  <c r="H117"/>
  <c r="J117" s="1"/>
  <c r="E494" l="1"/>
  <c r="J494" s="1"/>
  <c r="H418" l="1"/>
  <c r="J418" s="1"/>
  <c r="H727" l="1"/>
  <c r="J727" s="1"/>
  <c r="H195" l="1"/>
  <c r="J195" s="1"/>
  <c r="H717" l="1"/>
  <c r="J717" s="1"/>
  <c r="H716"/>
  <c r="J716" s="1"/>
  <c r="H250" l="1"/>
  <c r="J250" s="1"/>
  <c r="H38" l="1"/>
  <c r="J38" s="1"/>
  <c r="J337" l="1"/>
  <c r="H655" l="1"/>
  <c r="J655" s="1"/>
  <c r="H654"/>
  <c r="J654" s="1"/>
  <c r="J626" l="1"/>
  <c r="E493" l="1"/>
  <c r="J493" s="1"/>
  <c r="E492"/>
  <c r="J492" s="1"/>
  <c r="J491"/>
  <c r="H420" l="1"/>
  <c r="J420" s="1"/>
  <c r="J338" l="1"/>
  <c r="H404" l="1"/>
  <c r="J404" s="1"/>
  <c r="H403"/>
  <c r="J403" s="1"/>
  <c r="H402"/>
  <c r="J402" s="1"/>
  <c r="H401"/>
  <c r="J401" s="1"/>
  <c r="H400"/>
  <c r="J400" s="1"/>
  <c r="H399"/>
  <c r="J399" s="1"/>
  <c r="H398"/>
  <c r="J398" s="1"/>
  <c r="H397"/>
  <c r="J397" s="1"/>
  <c r="H396"/>
  <c r="J396" s="1"/>
  <c r="H390" l="1"/>
  <c r="J390" s="1"/>
  <c r="H115" l="1"/>
  <c r="J115" s="1"/>
  <c r="H114"/>
  <c r="J114" s="1"/>
  <c r="H113"/>
  <c r="J113" s="1"/>
  <c r="H112"/>
  <c r="J112" s="1"/>
  <c r="H172" l="1"/>
  <c r="J172" s="1"/>
  <c r="H69" l="1"/>
  <c r="J69" s="1"/>
  <c r="H200" l="1"/>
  <c r="J200" s="1"/>
  <c r="H456" l="1"/>
  <c r="J456" s="1"/>
  <c r="J314" l="1"/>
  <c r="J206" l="1"/>
  <c r="J205"/>
  <c r="H245" l="1"/>
  <c r="J245" s="1"/>
  <c r="H244"/>
  <c r="J244" s="1"/>
  <c r="H50" l="1"/>
  <c r="J50" s="1"/>
  <c r="H307" l="1"/>
  <c r="J307" s="1"/>
  <c r="H334" l="1"/>
  <c r="J334" s="1"/>
  <c r="J103" l="1"/>
  <c r="H99"/>
  <c r="H166" l="1"/>
  <c r="J166" s="1"/>
  <c r="E260" l="1"/>
  <c r="J260" s="1"/>
  <c r="H348" l="1"/>
  <c r="J348" s="1"/>
  <c r="H347"/>
  <c r="J347" s="1"/>
  <c r="H345"/>
  <c r="J345" s="1"/>
  <c r="H343"/>
  <c r="J343" s="1"/>
  <c r="J335" l="1"/>
  <c r="H56" l="1"/>
  <c r="J56" s="1"/>
  <c r="H310" l="1"/>
  <c r="J310" s="1"/>
  <c r="H733" l="1"/>
  <c r="J733" s="1"/>
  <c r="H725"/>
  <c r="J725" s="1"/>
  <c r="H724"/>
  <c r="J724" s="1"/>
  <c r="J830" l="1"/>
  <c r="J709"/>
  <c r="H722"/>
  <c r="J722" s="1"/>
  <c r="H721"/>
  <c r="J721" s="1"/>
  <c r="H715"/>
  <c r="J715" s="1"/>
  <c r="H714"/>
  <c r="J714" s="1"/>
  <c r="J623" l="1"/>
  <c r="E607" l="1"/>
  <c r="J607" s="1"/>
  <c r="E606"/>
  <c r="J606" s="1"/>
  <c r="H545" l="1"/>
  <c r="J545" s="1"/>
  <c r="H541"/>
  <c r="J541" s="1"/>
  <c r="E490" l="1"/>
  <c r="J490" s="1"/>
  <c r="E489"/>
  <c r="J489" s="1"/>
  <c r="J486"/>
  <c r="J485"/>
  <c r="J483" l="1"/>
  <c r="J482"/>
  <c r="H466"/>
  <c r="J466" s="1"/>
  <c r="H465"/>
  <c r="J465" s="1"/>
  <c r="H464"/>
  <c r="J464" s="1"/>
  <c r="H455"/>
  <c r="J455" s="1"/>
  <c r="H454"/>
  <c r="J454" s="1"/>
  <c r="H452"/>
  <c r="J452" s="1"/>
  <c r="H451"/>
  <c r="J451" s="1"/>
  <c r="H443"/>
  <c r="J443" s="1"/>
  <c r="H442"/>
  <c r="J442" s="1"/>
  <c r="H441"/>
  <c r="J441" s="1"/>
  <c r="H437"/>
  <c r="J437" s="1"/>
  <c r="H419" l="1"/>
  <c r="J419" s="1"/>
  <c r="H389"/>
  <c r="J389" s="1"/>
  <c r="H388"/>
  <c r="J388" s="1"/>
  <c r="H395" l="1"/>
  <c r="J395" s="1"/>
  <c r="H394"/>
  <c r="J394" s="1"/>
  <c r="H393"/>
  <c r="J393" s="1"/>
  <c r="H392"/>
  <c r="J392" s="1"/>
  <c r="H391"/>
  <c r="H387"/>
  <c r="J387" s="1"/>
  <c r="H386"/>
  <c r="J386" s="1"/>
  <c r="H385"/>
  <c r="J385" s="1"/>
  <c r="H384"/>
  <c r="J384" s="1"/>
  <c r="H383"/>
  <c r="J383" s="1"/>
  <c r="H382"/>
  <c r="J382" s="1"/>
  <c r="H381"/>
  <c r="J381" s="1"/>
  <c r="H380"/>
  <c r="J380" s="1"/>
  <c r="J391" l="1"/>
  <c r="H353"/>
  <c r="J353" s="1"/>
  <c r="H352"/>
  <c r="J352" s="1"/>
  <c r="H350"/>
  <c r="J350" s="1"/>
  <c r="H349"/>
  <c r="J349" s="1"/>
  <c r="H342"/>
  <c r="J342" s="1"/>
  <c r="H341"/>
  <c r="J341" s="1"/>
  <c r="J313" l="1"/>
  <c r="H316"/>
  <c r="J316" s="1"/>
  <c r="H312"/>
  <c r="J312" s="1"/>
  <c r="H311"/>
  <c r="J311" s="1"/>
  <c r="H309"/>
  <c r="J309" s="1"/>
  <c r="H306"/>
  <c r="J306" s="1"/>
  <c r="H305"/>
  <c r="J305" s="1"/>
  <c r="H304"/>
  <c r="J304" s="1"/>
  <c r="H300"/>
  <c r="J300" s="1"/>
  <c r="H299"/>
  <c r="J299" s="1"/>
  <c r="H298"/>
  <c r="J298" s="1"/>
  <c r="H297"/>
  <c r="J297" s="1"/>
  <c r="H296" l="1"/>
  <c r="J296" s="1"/>
  <c r="H251" l="1"/>
  <c r="J251" s="1"/>
  <c r="H248"/>
  <c r="J248" s="1"/>
  <c r="H247"/>
  <c r="J247" s="1"/>
  <c r="H246"/>
  <c r="J246" s="1"/>
  <c r="H243"/>
  <c r="J243" s="1"/>
  <c r="H242"/>
  <c r="J242" s="1"/>
  <c r="H241"/>
  <c r="J241" s="1"/>
  <c r="H235"/>
  <c r="J235" s="1"/>
  <c r="H234"/>
  <c r="J234" s="1"/>
  <c r="H233"/>
  <c r="J233" s="1"/>
  <c r="J204"/>
  <c r="H202" l="1"/>
  <c r="J202" s="1"/>
  <c r="H201"/>
  <c r="J201" s="1"/>
  <c r="H199"/>
  <c r="J199" s="1"/>
  <c r="H198"/>
  <c r="J198" s="1"/>
  <c r="H192"/>
  <c r="J192" s="1"/>
  <c r="H191"/>
  <c r="J191" s="1"/>
  <c r="H190"/>
  <c r="J190" s="1"/>
  <c r="H189"/>
  <c r="J189" s="1"/>
  <c r="H188"/>
  <c r="J188" s="1"/>
  <c r="H187"/>
  <c r="J187" s="1"/>
  <c r="H186"/>
  <c r="J186" s="1"/>
  <c r="H185"/>
  <c r="J185" s="1"/>
  <c r="H184"/>
  <c r="J184" s="1"/>
  <c r="H159"/>
  <c r="J159" s="1"/>
  <c r="J157"/>
  <c r="H157"/>
  <c r="H116"/>
  <c r="J116" s="1"/>
  <c r="H111" l="1"/>
  <c r="J111" s="1"/>
  <c r="H110"/>
  <c r="J110" s="1"/>
  <c r="H109"/>
  <c r="J109" s="1"/>
  <c r="H108"/>
  <c r="J108" s="1"/>
  <c r="H107"/>
  <c r="J107" s="1"/>
  <c r="H106"/>
  <c r="J106" s="1"/>
  <c r="H105"/>
  <c r="J105" s="1"/>
  <c r="H59" l="1"/>
  <c r="J59" s="1"/>
  <c r="H58"/>
  <c r="J58" s="1"/>
  <c r="H57"/>
  <c r="J57" s="1"/>
  <c r="J832" l="1"/>
  <c r="J831"/>
  <c r="H49" l="1"/>
  <c r="J49" s="1"/>
  <c r="J834" l="1"/>
  <c r="J835" l="1"/>
  <c r="J833"/>
  <c r="H53" l="1"/>
  <c r="J53" s="1"/>
  <c r="H52"/>
  <c r="J52" s="1"/>
  <c r="E829" l="1"/>
  <c r="J829" s="1"/>
  <c r="H42" l="1"/>
  <c r="J42" s="1"/>
  <c r="J828" l="1"/>
  <c r="H40"/>
  <c r="J40" s="1"/>
  <c r="H64" l="1"/>
  <c r="J64" s="1"/>
  <c r="H55"/>
  <c r="J55" s="1"/>
  <c r="H54"/>
  <c r="J54" s="1"/>
  <c r="H39" l="1"/>
  <c r="J39" s="1"/>
  <c r="H41" l="1"/>
  <c r="J41" s="1"/>
  <c r="H37"/>
  <c r="J37" s="1"/>
  <c r="H36"/>
  <c r="J36" s="1"/>
  <c r="H35"/>
  <c r="J35" s="1"/>
  <c r="H34"/>
  <c r="H33"/>
  <c r="J33" s="1"/>
  <c r="H32"/>
  <c r="J32" s="1"/>
  <c r="H31"/>
  <c r="J31" s="1"/>
  <c r="H30"/>
  <c r="J30" s="1"/>
  <c r="H28"/>
  <c r="J28" s="1"/>
  <c r="J853" l="1"/>
  <c r="J34"/>
</calcChain>
</file>

<file path=xl/sharedStrings.xml><?xml version="1.0" encoding="utf-8"?>
<sst xmlns="http://schemas.openxmlformats.org/spreadsheetml/2006/main" count="1439" uniqueCount="1082">
  <si>
    <t>Vesicare 5 mg 30 comp.</t>
  </si>
  <si>
    <t>Vesicare 10 mg 30 comp.</t>
  </si>
  <si>
    <t>Advagraf 1mg 60 caps</t>
  </si>
  <si>
    <t>Advagraf 0,5 mg 30 caps</t>
  </si>
  <si>
    <t>Advagraf 3 mg 30 caps</t>
  </si>
  <si>
    <t>Omnic Ocas</t>
  </si>
  <si>
    <t>Prograf 1 mg 60 caps</t>
  </si>
  <si>
    <t>Valdoxan 25 mg 28 comp</t>
  </si>
  <si>
    <t>Advagraf 5 mg 30 caps</t>
  </si>
  <si>
    <t xml:space="preserve">Omnic </t>
  </si>
  <si>
    <t>Procoralan 7,5 mg 56 comp</t>
  </si>
  <si>
    <t>Prograf 0,5 mg 30 caps</t>
  </si>
  <si>
    <t>Advagraf 1mg 30 caps</t>
  </si>
  <si>
    <t>Procoralan 5 mg 56 comp</t>
  </si>
  <si>
    <t>Dolquine 200 mg 30 comp</t>
  </si>
  <si>
    <t>PVL Neto</t>
  </si>
  <si>
    <t>PVL</t>
  </si>
  <si>
    <t>PVF</t>
  </si>
  <si>
    <t>PVF Neto</t>
  </si>
  <si>
    <t xml:space="preserve">A S T E L L A S </t>
  </si>
  <si>
    <t>C.N.</t>
  </si>
  <si>
    <t>Producto</t>
  </si>
  <si>
    <t xml:space="preserve">S E R V I E R </t>
  </si>
  <si>
    <t xml:space="preserve">L A B O R A T O R I O S   R U B I O </t>
  </si>
  <si>
    <t xml:space="preserve">G R Ü N E N T H A L </t>
  </si>
  <si>
    <t xml:space="preserve">A N G E L I N I </t>
  </si>
  <si>
    <t>Xenical</t>
  </si>
  <si>
    <t>Pariet 20 Mg. 28 comprimidos</t>
  </si>
  <si>
    <t>Zaldiar 37,5 MG, 20 comprimidos</t>
  </si>
  <si>
    <t>Zaldiar 37,5 MG, 20 efervescente</t>
  </si>
  <si>
    <t>Versatis 5% 20 apósitos</t>
  </si>
  <si>
    <t>Versatis 5% 30 apósitos</t>
  </si>
  <si>
    <t>Unidades</t>
  </si>
  <si>
    <t>Valores</t>
  </si>
  <si>
    <t xml:space="preserve">M E D I C A M E N T O   E U R O P E O </t>
  </si>
  <si>
    <t>Zaldiar 37,5 MG, 60 comprimidos</t>
  </si>
  <si>
    <t xml:space="preserve">N O R G I N E </t>
  </si>
  <si>
    <t>Movicol 20 sobres</t>
  </si>
  <si>
    <t>Movicol 30 sobres</t>
  </si>
  <si>
    <t xml:space="preserve">D A I I C H I   S A N K Y O </t>
  </si>
  <si>
    <t>Sevikar HCT 40/10/12.5 * 28</t>
  </si>
  <si>
    <t>Sevikar HCT 40/10/25 * 28</t>
  </si>
  <si>
    <t>Sevikar  40/5 *28</t>
  </si>
  <si>
    <t>Sevikar  20/5 * 28</t>
  </si>
  <si>
    <t>Sevikar  40 Mg. / 10 mg.</t>
  </si>
  <si>
    <t>Sevikar hct 20/5/12.5 * 28</t>
  </si>
  <si>
    <t>Sevikar hct 40/5/12.5 * 28</t>
  </si>
  <si>
    <t>Sevikar hct 40/5/25 * 28</t>
  </si>
  <si>
    <t>Olmetec 10 Mg. 28 comprimidos</t>
  </si>
  <si>
    <t>Olmetec 20 Mg. 28 comprimidos</t>
  </si>
  <si>
    <t>Olmetec 40 Mg. 28 comprimidos</t>
  </si>
  <si>
    <t>Olmetec Plus 20 / 12,5 * 28</t>
  </si>
  <si>
    <t>Olmetec Plus 20 / 25 * 28</t>
  </si>
  <si>
    <t>Olmetec Plus 40 / 12,5 * 28</t>
  </si>
  <si>
    <t>Olmetec Plus 40 / 25 * 28</t>
  </si>
  <si>
    <t>Betmiga</t>
  </si>
  <si>
    <t>Daflon 500 60 comprimidos</t>
  </si>
  <si>
    <t>Travatan colirio .004% 2.50 Ml.</t>
  </si>
  <si>
    <t>Duotrav colirio 2.50 Ml.</t>
  </si>
  <si>
    <t>Azarga colirio susp. 5 Ml.</t>
  </si>
  <si>
    <t>Azopt colirio 1% 5 Ml.</t>
  </si>
  <si>
    <t>Acuolens colirio mono. 30 .50 Ml.</t>
  </si>
  <si>
    <t xml:space="preserve">L A C E R </t>
  </si>
  <si>
    <t>Secalip 145 Mg. 30 comprimidos</t>
  </si>
  <si>
    <t>Secalip Supra 160 Mg. 30 comprimidos</t>
  </si>
  <si>
    <t>Vigamox  5 Ml.</t>
  </si>
  <si>
    <t>Droglican 200 Mg.</t>
  </si>
  <si>
    <t>Diamicron 30 Mg. 60 comprimidos</t>
  </si>
  <si>
    <t>Condrosulf 400 Mg. 60 cápsulas</t>
  </si>
  <si>
    <t>Deprax 100 Mg. 30 comprimidos</t>
  </si>
  <si>
    <t>Deprax 100 Mg. 60 comprimidos</t>
  </si>
  <si>
    <t xml:space="preserve">F E R R E R </t>
  </si>
  <si>
    <t>Somazina 0,5Gr. 10 ampollas 4 Ml.</t>
  </si>
  <si>
    <t>Somazina 1Gr. 10 sobres 10 4 Ml.</t>
  </si>
  <si>
    <t>Velmetia 50 Mg.</t>
  </si>
  <si>
    <t xml:space="preserve">R O C H E </t>
  </si>
  <si>
    <t>Vesomni 6 Mg. 30 comprimidos</t>
  </si>
  <si>
    <t>Diamicron 60 Mg. 60 comprimidos</t>
  </si>
  <si>
    <t xml:space="preserve">Bipreterax 4 Mg. 1,25 3o. </t>
  </si>
  <si>
    <t xml:space="preserve">M E N A R I N I </t>
  </si>
  <si>
    <t xml:space="preserve">I T A L F A R M A C O </t>
  </si>
  <si>
    <t>Ferplex 40, 20 viales bebibles 15 Ml.</t>
  </si>
  <si>
    <t>Yodocefol 200/400 28 comprimidos</t>
  </si>
  <si>
    <t>Demilos 600 Mg. 30 comprimidos</t>
  </si>
  <si>
    <t>Natecal D Flas 60 comp. Bucodisper.</t>
  </si>
  <si>
    <t>Natecal D comprimidos masticables 60</t>
  </si>
  <si>
    <t xml:space="preserve">R O V I </t>
  </si>
  <si>
    <t>Corlentor 5 Mg. 56 comprimidos</t>
  </si>
  <si>
    <t>Rhodogil 30 comprimidos</t>
  </si>
  <si>
    <t xml:space="preserve">U C B </t>
  </si>
  <si>
    <t>Keppra 500 Mg. 60 comprimidos</t>
  </si>
  <si>
    <t>Keppra 1.000 Mg. 30 comprimidos</t>
  </si>
  <si>
    <t>Stopcold 5/120 Mg. 20 comprim.</t>
  </si>
  <si>
    <t>Ferrosanol 100 Mg. 50</t>
  </si>
  <si>
    <t>Xazal 5 Mg. 20</t>
  </si>
  <si>
    <t xml:space="preserve">A L L E R G A N </t>
  </si>
  <si>
    <t>Ganfort 300MCG/ML 5 MG/ML</t>
  </si>
  <si>
    <t>Ganfort 0,3 MG/ML 30 unidosis</t>
  </si>
  <si>
    <t>Combigan 2 Mg/ML 5 ML. Colirio</t>
  </si>
  <si>
    <t>Alphagan 20 MG/ML 5 ML colirio</t>
  </si>
  <si>
    <t>Lumigan 0,1 MG/ML frasco 3 ML</t>
  </si>
  <si>
    <t>Lumigan 0,3 MG/ML 30 unidosis</t>
  </si>
  <si>
    <t>Urorec 8 Mg. 30 cápsulas</t>
  </si>
  <si>
    <t xml:space="preserve">M E R Z  P H A R M A </t>
  </si>
  <si>
    <t>Axura 20 Mg. 56 comprimidos</t>
  </si>
  <si>
    <t>ACCU-CHEC AVIVA 50 TIRAS 1 unidad</t>
  </si>
  <si>
    <t>ACCU-CHEC AVIVA 50 TIRAS + 25 unidades</t>
  </si>
  <si>
    <t>ACCU-CHEC AVIVA 50 TIRAS + 10 unidades</t>
  </si>
  <si>
    <t>ACCU-CHEC AVIVA 50 TIRAS + 40 unidades</t>
  </si>
  <si>
    <t>Micardis 80 Gr. 28 comprimidos</t>
  </si>
  <si>
    <t>Micardis Plus 80 Gr. 28 comprimidos</t>
  </si>
  <si>
    <t>Corlentor 7,5 Mg. 56 comprimidos</t>
  </si>
  <si>
    <t>Vytorin 10 Mg. 20 Mg. 28 comprimidos</t>
  </si>
  <si>
    <t>Vytorin 10 Mg. 40 Mg. 28 comprimidos</t>
  </si>
  <si>
    <t>Hibor 2.500 UI 10 jeringas prec. 0,20 Ml.</t>
  </si>
  <si>
    <t>Hibor 3.500 UI 10 jeringas prec. 0,20 Ml.</t>
  </si>
  <si>
    <t>Hibor 3.500 UI 30jeringas prec. 0,20 Ml.</t>
  </si>
  <si>
    <t>Hibor 5.000 UI 30 jeringas prec. 0,20 Ml.</t>
  </si>
  <si>
    <t>Hibor 7.500 UI 10 jeringas prec. 0,30 Ml.</t>
  </si>
  <si>
    <t>Hibor 7.500 UI 30 jeringas prec. 0,30 Ml.</t>
  </si>
  <si>
    <t>Orvatez 10 Mg. 40 Mg.</t>
  </si>
  <si>
    <t>Sintrom 1 Mg. 60 comprimidos</t>
  </si>
  <si>
    <t>Sintrom 4 Mg. 20 comprimidos</t>
  </si>
  <si>
    <t>Ulunar 85/43 microgramos</t>
  </si>
  <si>
    <t>Volutsa 6 Mg/0,4 Mg 30 comprimidos</t>
  </si>
  <si>
    <t>Openvas 10 Mg. 28 comprimidos</t>
  </si>
  <si>
    <t>Openvas 20 Mg. 28 comprimidos</t>
  </si>
  <si>
    <t>Openvas 40 Mg. 28 comprimidos</t>
  </si>
  <si>
    <t>Openvas plus  20/12,5 28 comp.</t>
  </si>
  <si>
    <t>Openvas Plus 20/25 Mg. 28 comprimidos</t>
  </si>
  <si>
    <t>Openvas Plus 40/12,5 28 comprimidos</t>
  </si>
  <si>
    <t>Openvas 40/25 Mg. 28 comprimidos</t>
  </si>
  <si>
    <t>Neupro 8 Mg. 24 horas parches</t>
  </si>
  <si>
    <t>Vimpat 100 Mg. 58 comprimidos</t>
  </si>
  <si>
    <t>Movicol Pediátrico Neutro 30 sobres</t>
  </si>
  <si>
    <t>Deltius 25.000 1 frasco 2,5 Ml.</t>
  </si>
  <si>
    <t>Pazital 37,5 20 comprimidos</t>
  </si>
  <si>
    <t>Yasmin</t>
  </si>
  <si>
    <t>Simbrinza 15 Ml.</t>
  </si>
  <si>
    <t>Vimpat 50 Mg. 14 comprimidos</t>
  </si>
  <si>
    <t xml:space="preserve">D E R M O F A R M </t>
  </si>
  <si>
    <t>Ojosbel</t>
  </si>
  <si>
    <t>Omacor 100 cápsulas blandas</t>
  </si>
  <si>
    <t>Omacor 28 cápsulas blandas</t>
  </si>
  <si>
    <t>ACCU-CHEC AVIVA 100 TIRAS 1 unidad</t>
  </si>
  <si>
    <t>ACCU-CHEC AVIVA 100 TIRAS + 10 unidades</t>
  </si>
  <si>
    <t>ACCU-CHEC AVIVA 100 TIRAS + 25 unidades</t>
  </si>
  <si>
    <t>ACCU-CHECK AVIVA 100 TIRAS + 40 unidades</t>
  </si>
  <si>
    <t>Vivace 30/10 Mg. 28 comprimidos</t>
  </si>
  <si>
    <t xml:space="preserve">C H I E S I </t>
  </si>
  <si>
    <t>Artedil 10 Mg.</t>
  </si>
  <si>
    <t>Artedil 20 Mg.</t>
  </si>
  <si>
    <t xml:space="preserve">B R I L L </t>
  </si>
  <si>
    <t>Hylo-Comod 10 Ml.</t>
  </si>
  <si>
    <t>Hylo-Gel 10 Ml.</t>
  </si>
  <si>
    <t xml:space="preserve">S A L V A T </t>
  </si>
  <si>
    <t>Orvatez 10 Mg. 20 Mg.</t>
  </si>
  <si>
    <t>Keppra 100 Mg.Ml 300 Ml. Solución oral</t>
  </si>
  <si>
    <t>Dormidina 12.5 Mg. 14 comprimidos</t>
  </si>
  <si>
    <t>Hylo-Dual 10 Ml.</t>
  </si>
  <si>
    <t>Keppra 250 Mg. 60 comprimidos</t>
  </si>
  <si>
    <t>Arava 20 Mg. 30 comprimidos</t>
  </si>
  <si>
    <t>Xoterna Breezhaler inhalador 30</t>
  </si>
  <si>
    <t>Xeristar 28 cápsulas 30 Mg.</t>
  </si>
  <si>
    <t>Xeristar 28 cápsulas 60 Mg.</t>
  </si>
  <si>
    <t>Bilina 4 Ml. Colirio</t>
  </si>
  <si>
    <t>Xelevia 50 28 comprimidos</t>
  </si>
  <si>
    <t>Xelevia 100 28 comprimidos</t>
  </si>
  <si>
    <t>Xelevia 100 56 comprimidos</t>
  </si>
  <si>
    <t>Descuento %</t>
  </si>
  <si>
    <t>Tobradex solución oftálmica 5</t>
  </si>
  <si>
    <t>Sintrom 1 Mg. 60 comprimidos + 50 unidades 1,5% adicional</t>
  </si>
  <si>
    <t>Dolquine 200 mg 30 comp + 25 unidades 2% adicional</t>
  </si>
  <si>
    <t>Neupro 1 Mg. 24 horas parches</t>
  </si>
  <si>
    <t>Neupro 6 Mg. 24 horas parches</t>
  </si>
  <si>
    <t>Vimpat 200 Mg. 56 comprimidos</t>
  </si>
  <si>
    <t>Viscofresh 0,5% 30 envases 0,4 Ml.</t>
  </si>
  <si>
    <t>Optava fusión estéril 10 Ml.</t>
  </si>
  <si>
    <t>Acfol 28 comprimidos</t>
  </si>
  <si>
    <t>Lixiana 60 Mg. 28 comprimidos</t>
  </si>
  <si>
    <t>Lixiana 30 Mg. 28 comprimidos</t>
  </si>
  <si>
    <t>Pravafenix 40 Mg. 30 cápsulas</t>
  </si>
  <si>
    <t>Pazital 37,5 20 comprimidos + 50 unidades 1% adicional</t>
  </si>
  <si>
    <t>Cumlaude Mucus vaginal 30 Ml.</t>
  </si>
  <si>
    <t xml:space="preserve">M E N A R I N I    D I A G N O S T I C O S </t>
  </si>
  <si>
    <t>Zebinix 800 Mg. 30 comprimidos</t>
  </si>
  <si>
    <t>Natifar 28 comprimidos</t>
  </si>
  <si>
    <t>Ferbisol 100 Mg. 50 cápsulas</t>
  </si>
  <si>
    <t>Hipertene 10 Mg. 28 comprimidos</t>
  </si>
  <si>
    <t>Hipertene 20 Mg. 28 comprimidos</t>
  </si>
  <si>
    <t xml:space="preserve">B I A L </t>
  </si>
  <si>
    <t xml:space="preserve">A L D O   U N I O N </t>
  </si>
  <si>
    <t>Ursobilane 500 Mg. 60 cápsulas</t>
  </si>
  <si>
    <t>Ursobilane 300 Mg. 60 cápsulas</t>
  </si>
  <si>
    <t>Combiprasal 0,5 Mg. 20 ampollas</t>
  </si>
  <si>
    <t>Resincolestiramina 50 sobres</t>
  </si>
  <si>
    <t>Neupro 4 Mg. 24 horas parches</t>
  </si>
  <si>
    <t>Somazina 1Gr. 30 sobres 10 4 Ml.</t>
  </si>
  <si>
    <t xml:space="preserve">L I F E S C A N </t>
  </si>
  <si>
    <t>Deltius (3 presentaciones +25 unidades 1,50% adicional</t>
  </si>
  <si>
    <t>Deltius 25.000  4 frascos 2,5 Ml.</t>
  </si>
  <si>
    <t>Deltius 10.000  1 frasco 10 Ml.</t>
  </si>
  <si>
    <t>Foli-Doce 28 comprimidos</t>
  </si>
  <si>
    <t>Foli-Doce 28 comprimidos + 25 unidades 1,5% adicional</t>
  </si>
  <si>
    <t xml:space="preserve">A L F A - S I G M A </t>
  </si>
  <si>
    <t>Spiraxin 200 Mg. 12 comprimidos</t>
  </si>
  <si>
    <t>Algasiv dentadura superior 30 unidades</t>
  </si>
  <si>
    <t>Algasiv dentadura inferior 30 unidades</t>
  </si>
  <si>
    <t xml:space="preserve">R E I G   JO F R E </t>
  </si>
  <si>
    <t xml:space="preserve">C O M B E </t>
  </si>
  <si>
    <t>Neupro 2 Mg. 24 horas parches</t>
  </si>
  <si>
    <t>Hemovas lib. Prolongada 600 Mg. 60</t>
  </si>
  <si>
    <t>Vimpat 150 Mg. 56 comprimidos</t>
  </si>
  <si>
    <t>Pazital 37,5 60 comprimidos</t>
  </si>
  <si>
    <t>Sebiprox champú</t>
  </si>
  <si>
    <t>Orvatez 10 Mg. 80 Mg.</t>
  </si>
  <si>
    <t>Higrotona 50 Mg. 50 comprimidos</t>
  </si>
  <si>
    <t>Tebetane compuesto 60 cápsulas</t>
  </si>
  <si>
    <t>Opatanol gotas 5 Ml.</t>
  </si>
  <si>
    <t>Tobrex 5 Ml.</t>
  </si>
  <si>
    <t>Tobrex ungüento 3 Mg.</t>
  </si>
  <si>
    <t>Efient 10 Mg. 28 comprimidos</t>
  </si>
  <si>
    <t>Colircusí Gentadexa 10 Ml.</t>
  </si>
  <si>
    <t>Resincalcio 15 Gr. 26 sobres</t>
  </si>
  <si>
    <t>Pylera 120 cápsulas</t>
  </si>
  <si>
    <t>Secalip 250 Mg. 30 cápsulas retard</t>
  </si>
  <si>
    <t>Ranexa 375 Mg. 60 comprimidos</t>
  </si>
  <si>
    <t>Ranexa 500 Mg. 60 comprimidos</t>
  </si>
  <si>
    <t>Glucomen Areo Sensor 50 tiras</t>
  </si>
  <si>
    <t>Enzude 50 Mg. 28 comprimidos</t>
  </si>
  <si>
    <t>Barnix 10 Mg. 56 cápsulas</t>
  </si>
  <si>
    <t>Barnix 10 Mg. 28 cápsulas</t>
  </si>
  <si>
    <t>Tirodril 5 Mg. 40 comprimidos</t>
  </si>
  <si>
    <t>Movicol solución oral 30 sobres</t>
  </si>
  <si>
    <t xml:space="preserve">N O V A R T I S </t>
  </si>
  <si>
    <t>Eucreas 50/1000 60 comprimidos</t>
  </si>
  <si>
    <t>Eucreas 50/850 60 comprimidos</t>
  </si>
  <si>
    <t>Ultibro Breezhaler 30 cápsulas</t>
  </si>
  <si>
    <t>Exforge 10/160 28 comprimidos</t>
  </si>
  <si>
    <t>Exforge 5/160 28 comprimidos</t>
  </si>
  <si>
    <t>Exforge HCT 160/12,5/10 Mg.</t>
  </si>
  <si>
    <t>Exforge HCT 160/12,5/5 Mg.</t>
  </si>
  <si>
    <t>Exforge HCT 160/25/10 Mg.</t>
  </si>
  <si>
    <t>Exforge HCT 160/25/5 Mg.</t>
  </si>
  <si>
    <t>Exforge HCT 320/25/10 Mg.</t>
  </si>
  <si>
    <t>Galvus 50 Mg. 28 comprimidos</t>
  </si>
  <si>
    <t>Galvus 50 Mg. 56 comprimidos</t>
  </si>
  <si>
    <t>Myfortic 360 Mg 50 comprimidos</t>
  </si>
  <si>
    <t>Co-Diovan 160/12,5 Mg 28 Cl.</t>
  </si>
  <si>
    <t>Co-Diovan 320/12,5 Mg 28 Cl.</t>
  </si>
  <si>
    <t>Co-Diovan 80/12,5 Mg 28 Cl.</t>
  </si>
  <si>
    <t>Co-Diovan Forte 160/25 Mg 28 Cl.</t>
  </si>
  <si>
    <t>Co-Diovan Forte 320/25 Mg 28 Cl.</t>
  </si>
  <si>
    <t>Seebri Breezhaler 0,05 Mg.</t>
  </si>
  <si>
    <t>Entresto 24 Mg.</t>
  </si>
  <si>
    <t>Entresto 49 Mg.</t>
  </si>
  <si>
    <t>Barnix 20 Mg. 56 cápsulas</t>
  </si>
  <si>
    <t>Barnix 20 Mg. 28 cápsulas</t>
  </si>
  <si>
    <t>Budesonida Aldo Union 200 MCG Aerosol 200 dosis</t>
  </si>
  <si>
    <t>Budesonida nasal Aldo Union 100 MCG Nebuliz.  200 dosis</t>
  </si>
  <si>
    <t>Budesonida Aldo Union 200 MCG Aerosol 120 dosis</t>
  </si>
  <si>
    <t xml:space="preserve">B A U S C H  &amp;  L O M B </t>
  </si>
  <si>
    <t>Yellox colirio solución 5 Ml.</t>
  </si>
  <si>
    <t>Onbrez Breezhaler 150 30 cápsulas 1 inhalador</t>
  </si>
  <si>
    <t>Femara 2,5 Mg. 30 comprimidos</t>
  </si>
  <si>
    <t>Diovan 160 Mg. 28 comprimidos</t>
  </si>
  <si>
    <t>Diovan 320 Mg. 28 comprimidos</t>
  </si>
  <si>
    <t>Diovan 80 Mg. 28 comprimidos</t>
  </si>
  <si>
    <t xml:space="preserve">A L T E R </t>
  </si>
  <si>
    <t>Osvical D 4500 Mg. UI 60 sobres</t>
  </si>
  <si>
    <t>Pluralais EFG 10 Mg. 28 comprimidos</t>
  </si>
  <si>
    <t>Sandimmun Neoral 100 Mg. 30 cap.</t>
  </si>
  <si>
    <t>Sandimmun Neoral 50 Mg. 30 cap.</t>
  </si>
  <si>
    <t>Tevetens Plus 600 Mg. 28 comp.</t>
  </si>
  <si>
    <t>Secalip 200 Mg. 30 cápsulas</t>
  </si>
  <si>
    <t>Biresp Spiromax 160/4,5 MCG 120 dosis</t>
  </si>
  <si>
    <t>Entresto 97 Mg. 56 comprimidos</t>
  </si>
  <si>
    <t>Apocard 100 Mg. 60 comprimidos</t>
  </si>
  <si>
    <t>Zomarist 50 Mg 850 Mg.</t>
  </si>
  <si>
    <t>Zomarist 50 Mg 1000 Mg.</t>
  </si>
  <si>
    <t>Alipza 1 Mg 28 comprimidos</t>
  </si>
  <si>
    <t>Alipza 2 Mg 28 comprimidos</t>
  </si>
  <si>
    <t>Alipza 4 Mg 28 comprimidos</t>
  </si>
  <si>
    <t>Loxifan 2,5 Mg. 30 comprimidos</t>
  </si>
  <si>
    <t>Doxium Fuerte 500 Mg. 60 cápsulas</t>
  </si>
  <si>
    <t>Sevikar, por la compra de 10 o más unidades 1% de descuento adicional</t>
  </si>
  <si>
    <t>Olmetec, por la compra de 10 o más unidades 1% de descuento adicional</t>
  </si>
  <si>
    <t>Openvas, por la compra de 10 o más unidades 1% de descuento adicional</t>
  </si>
  <si>
    <t xml:space="preserve">G E B R O </t>
  </si>
  <si>
    <t>Singulair 5 Mg 28 comprimidos</t>
  </si>
  <si>
    <t>Singulair 10 Mg 28 comprimidos</t>
  </si>
  <si>
    <t>Capenon 20 Mg / 5 Mg</t>
  </si>
  <si>
    <t>Capenon 40 Mg / 5 Mg</t>
  </si>
  <si>
    <t>Capenon 40 Mg / 10 Mg</t>
  </si>
  <si>
    <t>Capenon, por la compra de 10 o más unidades 1% de descuento adicional</t>
  </si>
  <si>
    <t>Tovanor Breezhaler 30 cápsulas</t>
  </si>
  <si>
    <t>Kentera 3,9 24 horas 8 parches</t>
  </si>
  <si>
    <t>Gregal 10 MCG 30 cápsulas 1 inhalador</t>
  </si>
  <si>
    <t>Coropres 25 Mg 28 comprimidos</t>
  </si>
  <si>
    <t>Heipram EFG 10 Mg. 28 comprimidos</t>
  </si>
  <si>
    <t>Thervan EFG 10 Mg. 28 comprimdos</t>
  </si>
  <si>
    <t>Thervan EFG 20 Mg. 28 comprimdos</t>
  </si>
  <si>
    <t>Thervan EFG 40 Mg. 28 comprimdos</t>
  </si>
  <si>
    <t>Budesonida Aldo Union 0,50Mg/Ml suspen. 20 ampollas</t>
  </si>
  <si>
    <t>Pontalsic 37,5 Mg/ 325 Mg 60 comprimidos</t>
  </si>
  <si>
    <t>Zomig 2,5 Mg  6 comprimidos</t>
  </si>
  <si>
    <t>Zomig Flas 2,5 Mg 6 comprimidos</t>
  </si>
  <si>
    <t>Zomig Flas 5 Mg 6 comprimidos</t>
  </si>
  <si>
    <t>Zomig 5 Mg solución  spray</t>
  </si>
  <si>
    <t>Lipocomb 20 Mg 30 cápsulas</t>
  </si>
  <si>
    <t>Blissel 50 gel vaginal</t>
  </si>
  <si>
    <t>Cumlaude Mucus vaginal 30 Ml. + 10 unidades</t>
  </si>
  <si>
    <t>Diliban 75 20 comprimidos</t>
  </si>
  <si>
    <t>Diliban 75 60 comprimidos</t>
  </si>
  <si>
    <t>Ranexa 750 Mg. 60 comprimidos</t>
  </si>
  <si>
    <t>Hemovas 400 60 grageas</t>
  </si>
  <si>
    <t>Cristalmina 100Mg / 25 Ml. Pulveri.</t>
  </si>
  <si>
    <t>Cristalmina solución 25 Ml.</t>
  </si>
  <si>
    <t>Cristalmina 100Mg / 25 Ml. Pulveri. + 50 unidades 2% adicional</t>
  </si>
  <si>
    <t>N E S T L É</t>
  </si>
  <si>
    <t>Meritene CHOCOLATE 30 sobres 15 Gr.</t>
  </si>
  <si>
    <t>Neparvis 49 Mg. 28 comprimidos</t>
  </si>
  <si>
    <t>Neparvis 24 Mg. 28 comprimidos</t>
  </si>
  <si>
    <t>Videsil 25000 UI ampollas</t>
  </si>
  <si>
    <t xml:space="preserve">N O V O   N O R D I S K </t>
  </si>
  <si>
    <t>Victoza 6MG/ML 2 plumas 3 Ml.</t>
  </si>
  <si>
    <t>Novorapid Flexpen 100 U/ML 5 plumas 3 Ml</t>
  </si>
  <si>
    <t>Tresiba 100 U/ML 5 plumas 3 Ml</t>
  </si>
  <si>
    <t>Levemir Flexplen 100 U/ML 5 plumas 3 Ml</t>
  </si>
  <si>
    <t>Novomix 30 Flexplen 100 U/ML 5 plumas 3 ML</t>
  </si>
  <si>
    <t>Insulatard Flexplen 100 U/ML 5 plumas 3 ML</t>
  </si>
  <si>
    <t>Enzude 100 Mg. 28 comprimidos</t>
  </si>
  <si>
    <t>Mixtard 30 Innolet 100 UI/ML 5 plumas 3 ML</t>
  </si>
  <si>
    <t>Actrapit Innolet 100 UI/ML 5 plumas 3 ML</t>
  </si>
  <si>
    <t>Glucagen Hipokit  1MG 1 vial 1 jer 1ML</t>
  </si>
  <si>
    <t>Neparvis 97 Mg. 28 comprimidos</t>
  </si>
  <si>
    <t>One Touch Select 50 tiras</t>
  </si>
  <si>
    <t>One Touch Verio 50 tiras</t>
  </si>
  <si>
    <t>Anafranil 75 Mg 28 comprimidos</t>
  </si>
  <si>
    <t xml:space="preserve">L U N D B E C K </t>
  </si>
  <si>
    <t>Ebixa 20 Mg. 56 comprimidos</t>
  </si>
  <si>
    <t>Axura 20 Mg. 56 comprimidos + 3 unidades</t>
  </si>
  <si>
    <t>Levemir Innolet 100 U/ML 5 plumas 3 Ml</t>
  </si>
  <si>
    <t>Novonorm 2 Mg. 90 comprimidos</t>
  </si>
  <si>
    <t>Novonorm 1 Mg. 90 comprimidos</t>
  </si>
  <si>
    <t>Heipram EFG 10 Mg. 56 comprimidos</t>
  </si>
  <si>
    <t>Heipram EFG 15 Mg. 28 comprimidos</t>
  </si>
  <si>
    <t>Heipram EFG 20 Mg. 28 comprimidos</t>
  </si>
  <si>
    <t>Lixben EFG 10 Mg. 28 comprimidos</t>
  </si>
  <si>
    <t>Cristalmina solución 10 Ml. Solución 125 Ml.</t>
  </si>
  <si>
    <t>Recugel gel 10 Gr.</t>
  </si>
  <si>
    <t>Anafranil 25 Mg 40 comprimidos</t>
  </si>
  <si>
    <t>Fiasp 100 U/ML 5 plumas 3 ML</t>
  </si>
  <si>
    <t>Ozempic 0,25 Mg. pluma recargada</t>
  </si>
  <si>
    <t>Ozempic 0,50 Mg. pluma recargada</t>
  </si>
  <si>
    <t>Ozempic 1 Mg. pluma recargada</t>
  </si>
  <si>
    <t>Viscofresh 0,5% 30 envases 0,4 Ml. + 64 unidades 2% adicional</t>
  </si>
  <si>
    <t>Masdil Retard 120 Mg. 60 comprimidos</t>
  </si>
  <si>
    <t>Videsil 50000 UI ampollas</t>
  </si>
  <si>
    <t xml:space="preserve">Artific colirio 10 Ml. </t>
  </si>
  <si>
    <t>Aterina 15 Mg. 60 cápsulas</t>
  </si>
  <si>
    <t>Biresp Spiromax 320/9 MCG 60 dosis</t>
  </si>
  <si>
    <t>Brintellix 5 Mg. 28 tabletas</t>
  </si>
  <si>
    <t>Brintellix 10 Mg. 28 tabletas</t>
  </si>
  <si>
    <t>Brintellix 20 Mg. 28 tabletas</t>
  </si>
  <si>
    <t>Deanxit 10 Mg. 30 comprimidos</t>
  </si>
  <si>
    <t xml:space="preserve">O T S U K A </t>
  </si>
  <si>
    <t>Abilify 15 Mg. 28 comprimidos</t>
  </si>
  <si>
    <t>Abilify 5 Mg. 28 comprimidos</t>
  </si>
  <si>
    <t>Abilify 10 Mg. 28 comprimidos</t>
  </si>
  <si>
    <t>Abilify 15 Mg. 28 comp. Bucodis.</t>
  </si>
  <si>
    <t>Abilify 1 Mg/Ml 150 Ml. Solución</t>
  </si>
  <si>
    <t>Abilify 10 Mg. 28 comp. Bucodis.</t>
  </si>
  <si>
    <t>Abilify Maintena 300 Mg. Polvo</t>
  </si>
  <si>
    <t>Abilify Maintena 400 Mg. Polvo</t>
  </si>
  <si>
    <t>Balzak 40 Mg/ 10 Mg 28 comprimidos</t>
  </si>
  <si>
    <t>Algasiv dentadura superior 18 unidades</t>
  </si>
  <si>
    <t>Algasiv dentadura inferior 18 unidades</t>
  </si>
  <si>
    <t>Cymbalta 60 Mg. 28 cápsulas</t>
  </si>
  <si>
    <t xml:space="preserve">T E O F A R M A </t>
  </si>
  <si>
    <t>Rinobanedif ungüento nasal 10 Gr.</t>
  </si>
  <si>
    <t>Imurel 50 comprimidos</t>
  </si>
  <si>
    <t>Enoxaparina ROVI 40 Mg 10 jer. 0,4 Ml.</t>
  </si>
  <si>
    <t>Enoxaparina ROVI 40 Mg 30 jer. 0,4 Ml.</t>
  </si>
  <si>
    <t xml:space="preserve">T A K E D A </t>
  </si>
  <si>
    <t>Opiren Flas 30 Mg. 28 comprimidos</t>
  </si>
  <si>
    <t>Opiren Flas 15 Mg. 28 comprimidos</t>
  </si>
  <si>
    <t>Opiren 30 Mg. 28 comprimidos</t>
  </si>
  <si>
    <t>Opiren 15 Mg. 28 comprimidos</t>
  </si>
  <si>
    <t>Jalra 50 Mg. 56 comprimidos</t>
  </si>
  <si>
    <t>Fero Gradumet 325 Mg.</t>
  </si>
  <si>
    <t>JOHSON &amp; JOHNSON</t>
  </si>
  <si>
    <t>Fortasec 2 Mg. 20 cápsulas duras</t>
  </si>
  <si>
    <t xml:space="preserve">B A Y E R </t>
  </si>
  <si>
    <t>Actron compuesto 28 comp. efer.</t>
  </si>
  <si>
    <t>Rubifen 10 Mg. 30 comprimidos</t>
  </si>
  <si>
    <t>Rubifen 20 Mg. 30 comprimidos</t>
  </si>
  <si>
    <t>Testogel 50 Mg.  30 sobres 5 Gr.</t>
  </si>
  <si>
    <t>Rubifen, compra de 15 unidades (entre ambas presentaciones) 5% adicional</t>
  </si>
  <si>
    <t>Arrox EFG 20 Mg. 20 comprimidos</t>
  </si>
  <si>
    <t>Norlevo 1,5 Mg. 1comprimido</t>
  </si>
  <si>
    <t xml:space="preserve">E R N </t>
  </si>
  <si>
    <t xml:space="preserve">A T N A H S </t>
  </si>
  <si>
    <t>Bonviva 150 Mg. 1 comprimido</t>
  </si>
  <si>
    <t>Naprosyn 500 Mg. 40 comprimidos</t>
  </si>
  <si>
    <t>Dolquine 200 mg 30 comp + 50 unidades 4% adicional</t>
  </si>
  <si>
    <t>Pantecta 40 Mg. 28 comprimidos</t>
  </si>
  <si>
    <t>Brintellix 15 Mg. 28 tabletas</t>
  </si>
  <si>
    <t>Lipocomb 10 Mg. 30 cápsulas</t>
  </si>
  <si>
    <t>Borea 160 Mg. 30 comprimidos</t>
  </si>
  <si>
    <t xml:space="preserve">V E M E D I A </t>
  </si>
  <si>
    <t>Briviact 50 Mg. 56 comprimidos</t>
  </si>
  <si>
    <t>Cariban 10/10 Mg. 24 cápsulas</t>
  </si>
  <si>
    <t>Briviact 100 Mg. 56 comprimidos</t>
  </si>
  <si>
    <t>Tresiba 200 U/ML 3 plumas 3 Ml</t>
  </si>
  <si>
    <t>Maygace suspensión  240 Ml.</t>
  </si>
  <si>
    <t>Fositens Plus 12.5 Mg. 28</t>
  </si>
  <si>
    <t>Fositens comprimidos 20 Mg. 28</t>
  </si>
  <si>
    <t>Píldoras Zeninas 30</t>
  </si>
  <si>
    <t>Audispray adultos 50 Ml.</t>
  </si>
  <si>
    <t xml:space="preserve">T H E A </t>
  </si>
  <si>
    <t>Monoprost colirio 30 unidosis</t>
  </si>
  <si>
    <t>Zaditen 0.025 colirio 20 monodosis</t>
  </si>
  <si>
    <t>Softacort 3.35 Mg/Ml 30 monodosis</t>
  </si>
  <si>
    <t xml:space="preserve">Duokopt  20/5 Mg/Ml colirio 10 Ml. </t>
  </si>
  <si>
    <t>Omnic Ocas 20 unidades 1% adicional</t>
  </si>
  <si>
    <t>Coropres, compra de + de 40 unidades (entre ambas presentaciones) 3% adicional</t>
  </si>
  <si>
    <t xml:space="preserve">F A E S </t>
  </si>
  <si>
    <t>Bilaxten 20 Mg. 20 comprimidos</t>
  </si>
  <si>
    <t>Vispring colirio 10 Ml. Frasco</t>
  </si>
  <si>
    <t>Gine-Canesten comp. 500 Mg.</t>
  </si>
  <si>
    <t>Canesten crema 30 Gr.</t>
  </si>
  <si>
    <t>Fortasec Flash 2 Mg. Liofilizado oral</t>
  </si>
  <si>
    <t>Vandral Retard 150 Mg. 30 cápsulas</t>
  </si>
  <si>
    <t>Meiact 200 Mg. 20 comprimidos</t>
  </si>
  <si>
    <t>Meiact 400 Mg. 10 comprimidos</t>
  </si>
  <si>
    <t>Profer 40 Mg. 30 sobres</t>
  </si>
  <si>
    <t>Profer 80 Mg. 15 sobres</t>
  </si>
  <si>
    <t xml:space="preserve">M S D </t>
  </si>
  <si>
    <t>Singulair 10 Mg. 28 comp.</t>
  </si>
  <si>
    <t>Aerius 5 Mg. 20 comprimidos</t>
  </si>
  <si>
    <t>Ixia 40 28 comprimidos</t>
  </si>
  <si>
    <t>Ixia Plus 40/25 28 comprimidos</t>
  </si>
  <si>
    <t>Acfol 28 comprimidos - 100 Unidades</t>
  </si>
  <si>
    <t>Monolitum EFG 30 Mg. 28</t>
  </si>
  <si>
    <t xml:space="preserve">T E V A </t>
  </si>
  <si>
    <t>Azilect 1 Mg. 30 comprimidos</t>
  </si>
  <si>
    <t>Duoresp Spiromax 160/4 120 pul.</t>
  </si>
  <si>
    <t>Duoresp Spiromax 320/9 60 pul.</t>
  </si>
  <si>
    <t>Braltus 10 MCG 30 caps. 1 inhal.</t>
  </si>
  <si>
    <t>Distraneurine 30 Mg.</t>
  </si>
  <si>
    <t>Micralax 12 cánulas</t>
  </si>
  <si>
    <t xml:space="preserve">E S T E V E </t>
  </si>
  <si>
    <t xml:space="preserve">R E C O R D A T I </t>
  </si>
  <si>
    <t>Aspirina 500 Mg. 20 comprimidos</t>
  </si>
  <si>
    <t>Duplo Crema de Manos Urea Repair Plus</t>
  </si>
  <si>
    <t>Duplo Crema de Manos Atopic Control</t>
  </si>
  <si>
    <t>83523-07401-27</t>
  </si>
  <si>
    <t>Body Euc Family Pack Locion Urea ( 1L + 400 ml)</t>
  </si>
  <si>
    <t>63023-07401-22</t>
  </si>
  <si>
    <t>Body Euc Pack Crema 100+75 ml</t>
  </si>
  <si>
    <t>63382-07402-27</t>
  </si>
  <si>
    <t>89744-07402-18</t>
  </si>
  <si>
    <t>63075-07403-21</t>
  </si>
  <si>
    <t>Body Euc Family Pack Gel ( 1L + 400 ml)</t>
  </si>
  <si>
    <t>Fixaprost 50 colirio</t>
  </si>
  <si>
    <t>Hydrapres 25 Mg. 30 comprimidos</t>
  </si>
  <si>
    <t>Hydrapres 50 Mg. 30 comprimidos</t>
  </si>
  <si>
    <t>Condrosan 400 Mg. 60</t>
  </si>
  <si>
    <t>M A T E R I A L  - C O V I D 19</t>
  </si>
  <si>
    <t>Gel Higienizante Pilatus 1000 Ml.</t>
  </si>
  <si>
    <t>Gel Higienizante Pilatus 500 Ml.</t>
  </si>
  <si>
    <t>Gel Higienizante Pilatus 100 Ml.</t>
  </si>
  <si>
    <t>Ixia Plus 40/12,5 28 comprimidos</t>
  </si>
  <si>
    <t>Aspirina C efervescente 20 comprimidos</t>
  </si>
  <si>
    <t>Saxenda 6 Mg/Ml 5 plumas</t>
  </si>
  <si>
    <t>Arrox EFG 10 Mg. 20 comprimidos</t>
  </si>
  <si>
    <t>Muntel 5 Mg. 20 comprimidos</t>
  </si>
  <si>
    <t>Kalpress Plus 80/12.5 MG 28 comprimidos</t>
  </si>
  <si>
    <t>Kalpress 80 MG 28 comprimidos</t>
  </si>
  <si>
    <t>Kalpress 160 MG 28 comprimidos</t>
  </si>
  <si>
    <t>Kalpress Plus 160/12.5 MG 28 comprimidos</t>
  </si>
  <si>
    <t>Kalpress Plus Forte 160/25 MG 28 comprimidos</t>
  </si>
  <si>
    <t>Kalpress Plus 320/12.5 MG 28 comprimidos</t>
  </si>
  <si>
    <t>Kalpress Plus Forte 320/25 MG 28 comprimidos</t>
  </si>
  <si>
    <t>Kalpress 320 MG 28 comprimidos</t>
  </si>
  <si>
    <t>Arrox EFG 15 Mg. 28 comprimidos</t>
  </si>
  <si>
    <t>Lixben EFG 5 Mg. 28 comprimidos</t>
  </si>
  <si>
    <t>Arrox EFG 10 Mg. 28 comprimidos</t>
  </si>
  <si>
    <t>Novorapid Pumpcart 100 U/ML 5 cartuchos</t>
  </si>
  <si>
    <t>Aspirina C efervescente 10 comprimidos</t>
  </si>
  <si>
    <t>Thrombocid pomada 60 Gr.</t>
  </si>
  <si>
    <t xml:space="preserve">S A N T E N </t>
  </si>
  <si>
    <t>Cosopt 20/5 colirio 5 Ml.</t>
  </si>
  <si>
    <t>Trusopt 20 Mg/Ml colirio 5 Ml.</t>
  </si>
  <si>
    <t>Timoftol 5 Mg/Ml colirio 5 Ml.</t>
  </si>
  <si>
    <t>Taptiqom 0,015/5 colirio monodosis (2º-8º)</t>
  </si>
  <si>
    <t>Saflutan 15 MCG colirio monodosis (2º-8º)</t>
  </si>
  <si>
    <t>Bilaxten 10 Mg. 20 comprimidos</t>
  </si>
  <si>
    <t>Artific colirio 30 monodosis 0,50</t>
  </si>
  <si>
    <t xml:space="preserve">T H E R A M E X </t>
  </si>
  <si>
    <t>Acrel 75 Mg. 2 comprimidos</t>
  </si>
  <si>
    <t>Colpotrofin 10 Mg. Crema vaginal 30 Gr.</t>
  </si>
  <si>
    <t>Ideos Unidia 2500 Mg. 880 UI 30 sobres</t>
  </si>
  <si>
    <t>Ideos 1250 Mg. 400 UI 60 comprimidos</t>
  </si>
  <si>
    <t>Ideos 1250 Mg. 400 UI 30 comprimidos</t>
  </si>
  <si>
    <t>Linelle Diario EFG 100/20 3x28 comprimidos</t>
  </si>
  <si>
    <t>Zoely 2.5  1,5 Mg. 28 comprimidos (24+4)</t>
  </si>
  <si>
    <t>Cosduo 20/5 Mg/Ml colirio 5 Ml.</t>
  </si>
  <si>
    <t xml:space="preserve">T E D E C  -  M E I J I </t>
  </si>
  <si>
    <t>Profer 40 Mg. 30 comprimidos</t>
  </si>
  <si>
    <t>Dovida 30 Mg. 30 cápsulas</t>
  </si>
  <si>
    <t>A L M I R A L L</t>
  </si>
  <si>
    <t>Crestor 5 Mg. 28 comprimidos</t>
  </si>
  <si>
    <t>Crestor 10 Mg. 28 comprimidos</t>
  </si>
  <si>
    <t>Crestor 20 Mg. 28 comprimidos</t>
  </si>
  <si>
    <t>Efficib 50/1000 Mg. 56 comprimidos</t>
  </si>
  <si>
    <t>Ixia Plus 20/25  MG.</t>
  </si>
  <si>
    <t>Ixia Plus 20/12,50 MG.</t>
  </si>
  <si>
    <t xml:space="preserve">N O W  D I A G N O S T I C S </t>
  </si>
  <si>
    <t>First to now (2 unidades pack) - test embarazo sangre (6 días)</t>
  </si>
  <si>
    <t xml:space="preserve">Voltaren Emulgel 60 Gr. </t>
  </si>
  <si>
    <t>Voltaren 100 Mg. 20 supos.</t>
  </si>
  <si>
    <t>Voltaren 50 Mg. 40 comprimidos</t>
  </si>
  <si>
    <t>Voltaren 75 Mg. 6 ampollas</t>
  </si>
  <si>
    <t>Voltaren Retard 100 Mg. 20 comp.</t>
  </si>
  <si>
    <t>Voltaren Retard 75 Mg. 40 comp.</t>
  </si>
  <si>
    <t>Claversal 1 Gr. 100 comprimidos</t>
  </si>
  <si>
    <t>Robaxisal 50 comprimidos</t>
  </si>
  <si>
    <t>Venosmil 200 60 cápsulas</t>
  </si>
  <si>
    <t>Ristfor 50 mg/1.000 Mg 56 compr.</t>
  </si>
  <si>
    <t>Hidroferol 0,266 Mg. 5 cápsulas</t>
  </si>
  <si>
    <t>Hidroferol 0,266 Mg. 10 ampollas</t>
  </si>
  <si>
    <t>Hidroferol 0,266 Mg. 10 cápsulas</t>
  </si>
  <si>
    <t>Plenur 400 Mg. 100 comprimidos</t>
  </si>
  <si>
    <t>Gine-Canesten 500 Mg. 1 comprimido vaginal</t>
  </si>
  <si>
    <t>Gine-Canesten 500 Mg. 1 cápsula blanda vaginal</t>
  </si>
  <si>
    <t>Mezavant 1200 Mg. 60 comprimidos</t>
  </si>
  <si>
    <t>Elvanse 30 Mg. 30 cápsulas</t>
  </si>
  <si>
    <t>Elvanse 50 Mg. 30 cápsulas</t>
  </si>
  <si>
    <t>Nexium 40 Mg. 28</t>
  </si>
  <si>
    <t>Nexium 20 Mg. 28</t>
  </si>
  <si>
    <t>Bandol 12,5 Mg. PULS. 30 Ml</t>
  </si>
  <si>
    <t>Lexatin 1,5 Mg. 30 cápsulas</t>
  </si>
  <si>
    <t>Lexatin 3 Mg. 30 cápsulas</t>
  </si>
  <si>
    <t xml:space="preserve">Frenadol Forte 10 sobres </t>
  </si>
  <si>
    <t>Frenadol Complex 10 sobres</t>
  </si>
  <si>
    <t xml:space="preserve">A S P E N </t>
  </si>
  <si>
    <t>Emla 25 Mg. Crema 30 Gr.</t>
  </si>
  <si>
    <t>Vandral Retard 75 Mg. 30 cápsulas</t>
  </si>
  <si>
    <t>Jalra 50 Mg. 28 comprimidos</t>
  </si>
  <si>
    <t>Axiago 40 Mg. 28</t>
  </si>
  <si>
    <t>Axiago 20 Mg. 28</t>
  </si>
  <si>
    <t>Cardyl 40 Mg. 28 comprimidos</t>
  </si>
  <si>
    <t>Dobupal 37,5 Mg. 60 comprimidos</t>
  </si>
  <si>
    <t>Parapres 32 Mg. 28 comprimidos</t>
  </si>
  <si>
    <t>Parapres 8 Mg. 28 comprimidos</t>
  </si>
  <si>
    <t>Parapres Plus 32 Mg. 12,5 Mg 28 comp.</t>
  </si>
  <si>
    <t>Parapres Plus Forte 32 Mg / 25 Mg. 28</t>
  </si>
  <si>
    <t>Dobupal 50 Mg. 30 comprimidos</t>
  </si>
  <si>
    <t>Cardyl 20 Mg. 28 comprimidos</t>
  </si>
  <si>
    <t>Besitran 50 Mg. 30 comprimidos</t>
  </si>
  <si>
    <t>Parapres Plus 16 Mg. 12,5 Mg 28 comp.</t>
  </si>
  <si>
    <t>Parapres 16 Mg. 28 comprimidos</t>
  </si>
  <si>
    <t>Compra 25 unidades gama Hidroferol 1% adicional</t>
  </si>
  <si>
    <t xml:space="preserve">V I T A G E R M I N E </t>
  </si>
  <si>
    <t>Babybio Optima lactante 800 Gr. ECO-BIO</t>
  </si>
  <si>
    <t>Babybio Optima continuación 800 Gr. ECO-BIO</t>
  </si>
  <si>
    <t>Babybio Optima crecimiento 800 Gr. ECO-BIO</t>
  </si>
  <si>
    <t xml:space="preserve">Babybio 3 cereales 220 Gr. </t>
  </si>
  <si>
    <t xml:space="preserve">Babybio 3 cereales con quinoa 220 Gr. </t>
  </si>
  <si>
    <t xml:space="preserve">Babybio cereales vainilla con quinoa 220 Gr. </t>
  </si>
  <si>
    <t>Almogran 12,5 Mg. 6 comprimidos</t>
  </si>
  <si>
    <t>Soludronate semanal 70 Gr.</t>
  </si>
  <si>
    <t>Babybio Caprea 1</t>
  </si>
  <si>
    <t>Babybio Caprea 2</t>
  </si>
  <si>
    <t>Babybio Caprea 3</t>
  </si>
  <si>
    <t xml:space="preserve">A B B O T T  D I A G N O S T I C O S </t>
  </si>
  <si>
    <t>Tiras Freestyle Optium 50 Uds.</t>
  </si>
  <si>
    <t>Analgilasa 20 comprimidos</t>
  </si>
  <si>
    <t>Hemorrane pomada 1% 30 Gr.</t>
  </si>
  <si>
    <t>Tanakene 40 Mg. Solución 50 Ml.</t>
  </si>
  <si>
    <t>Yeloin 30 unidosis</t>
  </si>
  <si>
    <t>Actonel semanal 35 Mg. 4 comp. Gastro.</t>
  </si>
  <si>
    <t>Actonel semanal 35 Mg. 4 comp. Recub.</t>
  </si>
  <si>
    <t>Viscofresh 0,5% 30 envases 0,4 Ml. + 32 unidades 2% adicional</t>
  </si>
  <si>
    <t>Estilsona 7 Mg. Gotas 10 Ml.</t>
  </si>
  <si>
    <t>Deltius 25.000 4 cápsulas</t>
  </si>
  <si>
    <t xml:space="preserve">B E I E R S D O R F - P A C K S </t>
  </si>
  <si>
    <t xml:space="preserve">K E R N - G Y N E A </t>
  </si>
  <si>
    <t>Celebrex 200 Mg. 30 cápsulas</t>
  </si>
  <si>
    <t>Frenadol descongestivo 16 cáspsulas</t>
  </si>
  <si>
    <t>Frenasal Plus nebulizador 10 Ml.</t>
  </si>
  <si>
    <t>Capenon HCT 20 / 5 / 12,5 Mg.</t>
  </si>
  <si>
    <t>Capenon HCT 40 / 10 / 12,5 Mg.</t>
  </si>
  <si>
    <t>Capenon HCT 40 / 10 / 25 Mg.</t>
  </si>
  <si>
    <t>Capenon HCT 40 / 5 / 12,5 Mg.</t>
  </si>
  <si>
    <t>Capenon HCT 40 / 5 / 25 Mg.</t>
  </si>
  <si>
    <t>Movicol 30 sobres 24 unidades 1,50 % adicional</t>
  </si>
  <si>
    <t>Movicol Pediátrico Neutro 30 sobres 24 unidades 1,50 % adicional</t>
  </si>
  <si>
    <t>Meritene FRESA 30 sobres 15 Gr.</t>
  </si>
  <si>
    <t>6 unidades misma presentación 2% adicional</t>
  </si>
  <si>
    <t xml:space="preserve">D E I T E R S </t>
  </si>
  <si>
    <t>Tapones espuma Quies 6 uni.</t>
  </si>
  <si>
    <t>Fisiocannabis cremagel tubo 60 Ml.</t>
  </si>
  <si>
    <t>Almax 500 Mg. 48 comprimidos</t>
  </si>
  <si>
    <t>Almax Forte 1,5 Gr. 24 sobres</t>
  </si>
  <si>
    <t xml:space="preserve">G A L D E R M A </t>
  </si>
  <si>
    <t>Odenil 5% uñas</t>
  </si>
  <si>
    <t>Clobex 500</t>
  </si>
  <si>
    <t>Rozex 30 Gr.</t>
  </si>
  <si>
    <t xml:space="preserve">A B B V I E </t>
  </si>
  <si>
    <t>Zemplar 1 28 cápsulas</t>
  </si>
  <si>
    <t>Anagastra 40</t>
  </si>
  <si>
    <t>Konakion 10 Mg. 5 ampollas 1 Ml.</t>
  </si>
  <si>
    <t>Atacand 8 Mg 30 comrpimidos</t>
  </si>
  <si>
    <t>Atacand 16 Mg 28 comrpimidos</t>
  </si>
  <si>
    <t>Atacand 32 Mg 28 comrpimidos</t>
  </si>
  <si>
    <t>Atacand Plus 16 Mg - 12,5 Mg 30 comp.</t>
  </si>
  <si>
    <t>Atacand Plus 32 Mg - 12,5 Mg 28 comp.</t>
  </si>
  <si>
    <t>Atacand Plus 32 Mg - 25 Mg 28 comp.</t>
  </si>
  <si>
    <t>Vagisil gel hidratante vaginal 30 gramos</t>
  </si>
  <si>
    <t xml:space="preserve">U N I P H A R M A </t>
  </si>
  <si>
    <t>Sarcop 50 Mg. Crema 40 Gr.</t>
  </si>
  <si>
    <t>Sarcop 50 Mg. Crema 70 Gr.</t>
  </si>
  <si>
    <t>Cosopt 20/5 colirio 10 Ml.</t>
  </si>
  <si>
    <t>Enantyum 25 Mg solución sobres granulados oral</t>
  </si>
  <si>
    <t>Enantyum 25 Mg. 20 comprimidos recubiertos</t>
  </si>
  <si>
    <t>Diprogenta  crema 30 Gr.</t>
  </si>
  <si>
    <t>Babygal</t>
  </si>
  <si>
    <t>Babybio Galletas Denticion</t>
  </si>
  <si>
    <t>Potmel</t>
  </si>
  <si>
    <t>Babybio Melocoton-Manzana 130g</t>
  </si>
  <si>
    <t>Potman</t>
  </si>
  <si>
    <t>Babybio Manzana Ciruela 130g</t>
  </si>
  <si>
    <t>Potpol</t>
  </si>
  <si>
    <t>Babybio Menu Tradicion Pollo</t>
  </si>
  <si>
    <t>Potqui</t>
  </si>
  <si>
    <t>Babybio Menu Tradicion Quinoa</t>
  </si>
  <si>
    <t>Livazo 2 Mg. 28</t>
  </si>
  <si>
    <t>Livazo 4 Mg. 28</t>
  </si>
  <si>
    <t>Livazo 1 Mg. 28</t>
  </si>
  <si>
    <t>Cidine 1 MG. 50 comprimidos</t>
  </si>
  <si>
    <t>Vimovo 500 Mg. 60</t>
  </si>
  <si>
    <t>Ezetrol 10 Mg.</t>
  </si>
  <si>
    <t>Coaprovel 300 Mg. 25 Mg. 28 comprimidos recubiertos</t>
  </si>
  <si>
    <t>APO-GO 5 Mg/Ml. Jeringas 10 Ml.</t>
  </si>
  <si>
    <t>Zarelis Retard 75 30 comprimdos</t>
  </si>
  <si>
    <t>Zarelis Retard 150 30 comprimdos</t>
  </si>
  <si>
    <t>Zarelis Retard 225 30 comprimdos</t>
  </si>
  <si>
    <t xml:space="preserve">Vispring colirio 15 Ml. Frasco nuevo </t>
  </si>
  <si>
    <t>Besitran 100 Mg. 30 comprimidos</t>
  </si>
  <si>
    <t>Zanipress 20 Mg. 20 Mg. 28 comprimidos</t>
  </si>
  <si>
    <t>Zanipress 20 Mg. 10 Mg. 28 comprimidos</t>
  </si>
  <si>
    <t>Ojosbel 25 unidades - 5% adicional</t>
  </si>
  <si>
    <t>Lumigan 0,1 MG/ML frasco 3 ML - compra 24 unidades</t>
  </si>
  <si>
    <t>Lumigan 0,1 MG/ML frasco 3 ML - compra 36 unidades</t>
  </si>
  <si>
    <t>Lumigan 0,1 MG/ML frasco 3 ML - compra 12 unidades</t>
  </si>
  <si>
    <t>Astenolit 12 ampollas bebibles</t>
  </si>
  <si>
    <t>Velmetia 50 Mg. + 10 unidades 1% adicional</t>
  </si>
  <si>
    <t>Vesicare 5 mg 30 comp. + 15 unidades 1% adicional</t>
  </si>
  <si>
    <t>Condrosan 400 Mg. 60 +25 unidades 1% adicional</t>
  </si>
  <si>
    <t>Distraneurine 30 Mg. +25 unidades 3% adicional</t>
  </si>
  <si>
    <t>Distraneurine 30 Mg. +50 unidades 5% adicional</t>
  </si>
  <si>
    <t>Ganfort 300MCG/ML 5 MG/ML - 12 unidades 2% adicional</t>
  </si>
  <si>
    <t>Ganfort 300MCG/ML 5 MG/ML - 24 unidades 3% adicional</t>
  </si>
  <si>
    <t>Ganfort 300MCG/ML 5 MG/ML - 36 unidades 4% adicional</t>
  </si>
  <si>
    <t>Alphagan 20 MG/ML 5 ML colirio - 12 unidades 2% adicional</t>
  </si>
  <si>
    <t>Alphagan 20 MG/ML 5 ML colirio - 24 unidades 4% adicional</t>
  </si>
  <si>
    <t>Rinialer tabletas 10 Mg. 20</t>
  </si>
  <si>
    <t>Ongentys 50 Mg. 30 cápsulas</t>
  </si>
  <si>
    <t>Astenolit 12 viales bebibles</t>
  </si>
  <si>
    <t>Potter</t>
  </si>
  <si>
    <t>Babybio Menu Tradicion Ternera</t>
  </si>
  <si>
    <t>Potper</t>
  </si>
  <si>
    <t>Babybio Pera 130g</t>
  </si>
  <si>
    <t>Blastoestimulina PDA 30 Gr.</t>
  </si>
  <si>
    <t>Saxenda 6 Mg/Ml 3 plumas</t>
  </si>
  <si>
    <t>Ebastel Forte Flash 20 Mg.</t>
  </si>
  <si>
    <t>Ebastel Forte 20 comprimidos</t>
  </si>
  <si>
    <t>Ebastel 10 Mg. 20 comprimidos</t>
  </si>
  <si>
    <t>Blastoestimulina 10 óvulos vaginales</t>
  </si>
  <si>
    <t>Intuniv 4 mg. 28 comprimidos</t>
  </si>
  <si>
    <t xml:space="preserve">O R G A N O N </t>
  </si>
  <si>
    <t>Ezetrol 10 Mg. 28 comprimidos</t>
  </si>
  <si>
    <t>Epiduo 1 Mg. Gel cutáneo 60 Gr.</t>
  </si>
  <si>
    <t>Aklief 50 crema 75 Gr.</t>
  </si>
  <si>
    <t>Soolantra 10 mg crema 30 gr,</t>
  </si>
  <si>
    <t>Revinty Ellipta 184/22 inhalador 30</t>
  </si>
  <si>
    <t>Revinty Ellipta 92/22 inhalador 30</t>
  </si>
  <si>
    <t>Constella 28 cápsulas</t>
  </si>
  <si>
    <t>Elvanse 70 Mg. 30 cápsulas</t>
  </si>
  <si>
    <t>Almax Forte 1,5 Gr. 12 sobres</t>
  </si>
  <si>
    <t xml:space="preserve">F A L K </t>
  </si>
  <si>
    <t>Salofalk 4 gr. 60 Ml. Enema</t>
  </si>
  <si>
    <t>Benferol mensual 25.000 UI 4 caps.</t>
  </si>
  <si>
    <t>Benferol choque 50.000 UI 2 caps.</t>
  </si>
  <si>
    <t>Silodyx 8 Mg. 30 cápsulas</t>
  </si>
  <si>
    <t>Adiaval EFG 2500 Mg. 880 UI 30 comprimidos</t>
  </si>
  <si>
    <t>Anagastra 40 Mg. 28 comprimidos</t>
  </si>
  <si>
    <t>Anagastra 20 Mg. 28 comprimidos</t>
  </si>
  <si>
    <t>Pantecta 20 Mg. 28 comprimidos</t>
  </si>
  <si>
    <t>Mastical D (500 Mg. Cap) / 400 UI 60 comprimidos</t>
  </si>
  <si>
    <t>Mastical D Unidia (1000 Mg. Cap) / 800 UI 30 comprimidos</t>
  </si>
  <si>
    <t>Mastical D (500 Mg. Cap) / 800 UI 30 comprimidos</t>
  </si>
  <si>
    <t>One Touch Select 100 tiras</t>
  </si>
  <si>
    <t>Incresync 25 Mg/30 Mg 28 comprimidos</t>
  </si>
  <si>
    <t>Vipdomet 12,5 Mg / 1.000 Mg. 56 comprimidos</t>
  </si>
  <si>
    <t>Vipdomet 12,5 Mg / 850 Mg. 56 comprimidos</t>
  </si>
  <si>
    <t>Vipidia 12,5 Mg. 28 comprimidos</t>
  </si>
  <si>
    <t>Vipidia 25 Mg. 28 comprimidos</t>
  </si>
  <si>
    <t>Dormidina surtido +20 unidades 2% adicional</t>
  </si>
  <si>
    <t xml:space="preserve">Dormidina 14 comp. 25 Mg </t>
  </si>
  <si>
    <t>Treclinac 10 Mg. Gel 30 Gr.</t>
  </si>
  <si>
    <t>Babycrem</t>
  </si>
  <si>
    <t>Babybio Crema hidratante Cara &amp; Cuerpo 150ml</t>
  </si>
  <si>
    <t>Babygel</t>
  </si>
  <si>
    <t>Babybio Gel de baño - Pelo &amp; Cuerpo 250ml</t>
  </si>
  <si>
    <t>Babyagua</t>
  </si>
  <si>
    <t>Babybio Agua de limpieza 250ml</t>
  </si>
  <si>
    <t>Babyacam</t>
  </si>
  <si>
    <t>Babybio Aceite de masaje 100ml</t>
  </si>
  <si>
    <t>Babycrepa</t>
  </si>
  <si>
    <t>Babybio Crema de pañal 200ml</t>
  </si>
  <si>
    <t>Brintellix 20 Mg. Solución 15</t>
  </si>
  <si>
    <t>Almogran 12,5 Mg. 9 comprimidos</t>
  </si>
  <si>
    <t>Gestagyn embarazo</t>
  </si>
  <si>
    <t>Gestagyn lactancia</t>
  </si>
  <si>
    <t>Melagyn Gel</t>
  </si>
  <si>
    <t>Combigan 2 Mg/ML 5 ML. Colirio 24 unidades</t>
  </si>
  <si>
    <t>Combigan 2 Mg/ML 5 ML. Colirio 36 unidades</t>
  </si>
  <si>
    <t>Hidroxil B1-B6-B12 30 comprimidos</t>
  </si>
  <si>
    <t>Myfortic 180 Mg 100 comprimidos</t>
  </si>
  <si>
    <t>Lipocomb 10</t>
  </si>
  <si>
    <t>Lipocomb 20</t>
  </si>
  <si>
    <t xml:space="preserve">A B O C A </t>
  </si>
  <si>
    <t>Melilax adulto 6 microenemas 10 Gr.</t>
  </si>
  <si>
    <t>Melilax pediátrico 6 microenemas 5 Gr.</t>
  </si>
  <si>
    <t>Neobianacid frasco 14 comprimidos</t>
  </si>
  <si>
    <t>Neobianacid frasco 45 comprimidos</t>
  </si>
  <si>
    <t>Salofalk 3 gr. 60 sobnres granulados</t>
  </si>
  <si>
    <t>Iberogast gotas orales  50 ml.</t>
  </si>
  <si>
    <t>Alka-Seltzer 2,1 Gr. 20 comprimidos</t>
  </si>
  <si>
    <t>Mosegor 0,25 Mg. Solución 200 Ml.</t>
  </si>
  <si>
    <t>Prometax 9,5 Mg. Parches</t>
  </si>
  <si>
    <t xml:space="preserve">Salofalk 1 Gr. 30 supositorios </t>
  </si>
  <si>
    <t>Budesonida Aldo Union EFG 64 MCG Nebuliz. 200 dosis</t>
  </si>
  <si>
    <t>Rivotril 2,5 mg. Gotas 10 Ml.</t>
  </si>
  <si>
    <t>Rivotril 0,50 Mg. 60 comprimidos</t>
  </si>
  <si>
    <t>Mastical D (500 Mg. Cap. / 400 UI 60 comp. Naranja</t>
  </si>
  <si>
    <t>Mastical 1250 Mg. (500 mg. Cap. 90 comprimidos</t>
  </si>
  <si>
    <t>Heipram EFG 20 Mg. 56 comprimidos</t>
  </si>
  <si>
    <t>Heipram EFG 15 Mg. 56 comprimidos</t>
  </si>
  <si>
    <t>Neomyx 0,5 Mg. 30 cápsulas</t>
  </si>
  <si>
    <t>Rivotril 2 Mg. 60 comprimidos</t>
  </si>
  <si>
    <t>Ojosbel 50 unidades -8% adicional</t>
  </si>
  <si>
    <t>Cumlaude Mucus vaginal 30 Ml. + 20 unidades+</t>
  </si>
  <si>
    <t xml:space="preserve">V I A T R I S </t>
  </si>
  <si>
    <t>Tevetens 600 Mg. 28 comp.</t>
  </si>
  <si>
    <t>Tarka 180/2 Mg. 28 cápsulas</t>
  </si>
  <si>
    <t>Twicor 10 Mg/10 Mg 30 comprimidos</t>
  </si>
  <si>
    <t>Icandra 50 Mg. / 850 Mg. Comp.</t>
  </si>
  <si>
    <t>Leponex 100 40 comprimidos</t>
  </si>
  <si>
    <t>Rybelsus 14 mg. 30 comprimidos</t>
  </si>
  <si>
    <t>Rybelsus 3 mg. 30 comprimidos</t>
  </si>
  <si>
    <t>Rybelsus 7 mg. 30 comprimidos</t>
  </si>
  <si>
    <t>Claversal 500 Mg. 100 comprimidos</t>
  </si>
  <si>
    <t>Rolufta Ellipta 55 Micro. Inhal. 30 dosis</t>
  </si>
  <si>
    <t>Levogastrol 25 Mg. 60 Comprimidos</t>
  </si>
  <si>
    <t>Cetraxal Plus 3 Mg. 10 Ml. Gotas</t>
  </si>
  <si>
    <t>Potsal</t>
  </si>
  <si>
    <t>Babybio Menu tradición salmon</t>
  </si>
  <si>
    <t>Potplat</t>
  </si>
  <si>
    <t>Babybio Manzana-Plátano</t>
  </si>
  <si>
    <t>Babynat</t>
  </si>
  <si>
    <t>Babyper</t>
  </si>
  <si>
    <t>Babyplat</t>
  </si>
  <si>
    <t>Babybio yogur natural (2 unidades) sin nevera</t>
  </si>
  <si>
    <t>Babybio yogur pera (2 unidades) sin nevera</t>
  </si>
  <si>
    <t>Babybio yogur albaricoque-plátano (2 unidades) sin nevera</t>
  </si>
  <si>
    <t xml:space="preserve">Nitroplast 10  - 30 parches </t>
  </si>
  <si>
    <t>Ekistol 100 mg. 56 comprimidos</t>
  </si>
  <si>
    <t>Mictonorm 30 Mg. 28 cápsulas</t>
  </si>
  <si>
    <t>Neupro 3 Mg/24 horas parches</t>
  </si>
  <si>
    <t>661539+</t>
  </si>
  <si>
    <t>Monolitum Flash 30 Mg. 28 comp.</t>
  </si>
  <si>
    <t>Gine-Canesten crema 20 Mg./G</t>
  </si>
  <si>
    <t>Enangel 12,5 Mg. Gel tubo 60 Gr.</t>
  </si>
  <si>
    <t xml:space="preserve">Nitroplast 5  - 30 parches </t>
  </si>
  <si>
    <t>Intrarosa 6,5 Mg. 28 óvulos</t>
  </si>
  <si>
    <t>Lubristil solución oftal. 30 monodosis</t>
  </si>
  <si>
    <t xml:space="preserve">B O E H R I N G E R </t>
  </si>
  <si>
    <t>Pharmaton complex 30 comprimidos</t>
  </si>
  <si>
    <t>Pharmaton complex 60 comprimidos</t>
  </si>
  <si>
    <t>Sintrom 4 Mg. 20 comprimidos + 140 unidades 1,5% adicional</t>
  </si>
  <si>
    <t>Provisacor 20 Mg. 28 comprimidos</t>
  </si>
  <si>
    <t>Ziverel 20 sobres</t>
  </si>
  <si>
    <t>Ziverel 20 sobres 10 unidades 5% adicional</t>
  </si>
  <si>
    <t>Lipolasic gel oftalmológico 0,2%</t>
  </si>
  <si>
    <t xml:space="preserve">Lipolasic gel oftalmológico 0,2%. +15 unidades </t>
  </si>
  <si>
    <t>Lipolasic gel oftalmológico 0,2% + 20 unidades</t>
  </si>
  <si>
    <t>Lipolasic gel oftalmológico 0,2% + 30 unidades</t>
  </si>
  <si>
    <t>Levogastrol 25 Mg. 30 comprimidos</t>
  </si>
  <si>
    <t>791061</t>
  </si>
  <si>
    <t>Solaraze 30 Mg. Gel 60 Gr.</t>
  </si>
  <si>
    <t>Yellox colirio solución 5 Ml. + 10 unidades 4% adicional</t>
  </si>
  <si>
    <t>Yellox colirio solución 5 Ml. + 20 unidades 8% adicional</t>
  </si>
  <si>
    <t>Recugel gel 10 Gr. 10 unidades 4% adicional</t>
  </si>
  <si>
    <t>Recugel gel 10 Gr. 20 unidades 8% adicional</t>
  </si>
  <si>
    <t>Coropres 6,25 Mg 28 comprimidos</t>
  </si>
  <si>
    <t xml:space="preserve">Nitroplast 15  - 30 parches </t>
  </si>
  <si>
    <t>Cetraxal Ótico gotas 10 Ml.</t>
  </si>
  <si>
    <t>Zarelis Retard 150 30 comprimidos</t>
  </si>
  <si>
    <t>Diltiwas Retard 120 mg. 40 cápsulas</t>
  </si>
  <si>
    <t>Silodyx 4 Mg. 30 cápsulas</t>
  </si>
  <si>
    <t xml:space="preserve">Dolo-Voltaren </t>
  </si>
  <si>
    <t>Artific colirio 10 Ml.  - 20 unidades</t>
  </si>
  <si>
    <t>Artific colirio 30 monodosis 0,50 - 30 unidades</t>
  </si>
  <si>
    <t>Ateroger 20 /10 Mg. 30 comprimidos</t>
  </si>
  <si>
    <t>Duplaxil 400 Mg. 30 comprimidos</t>
  </si>
  <si>
    <t>Tovedeso 3,5 Mg. 28 comprimidos</t>
  </si>
  <si>
    <t>Tovedeso 7 Mg. 28 comprimidos</t>
  </si>
  <si>
    <t>Viacoram 7/5 MG. 30 comprimidos</t>
  </si>
  <si>
    <t>Demilos 1500 Mg. 30 comprimidos</t>
  </si>
  <si>
    <t>Elidel crema 1% 60 Gr.</t>
  </si>
  <si>
    <t>Lyrica 75 Mg 56 comprimidos</t>
  </si>
  <si>
    <t>Blastoestimulina 10 Mg. Pomada 30 Gr.</t>
  </si>
  <si>
    <t>Blastoestimulina 10 Mg. Pomada 60 Gr.</t>
  </si>
  <si>
    <t>Qutenza 179 Mg. 1 parche</t>
  </si>
  <si>
    <t>Zonegran 25 Mg. 14 cápsulas</t>
  </si>
  <si>
    <t>Zonegran 50 Mg. 28 cápsulas</t>
  </si>
  <si>
    <t>Zonegran 100 Mg. 56 cápsulas</t>
  </si>
  <si>
    <t>Trinomia 100/40/10 28 comp.</t>
  </si>
  <si>
    <t>Trinomia 100/40/2,5 28 comp.</t>
  </si>
  <si>
    <t>Trinomia 100/40/5 28 comp.</t>
  </si>
  <si>
    <t>ACCU-CHEC GUIDE 50 TIRAS 1 unidad</t>
  </si>
  <si>
    <t>ACCU-CHEC GUIDE 50 TIRAS 10 unidades</t>
  </si>
  <si>
    <t>ACCU-CHEC GUIDE 50 TIRAS 25 unidades</t>
  </si>
  <si>
    <t xml:space="preserve">B A Y E R  D I A G N O S T I C O S </t>
  </si>
  <si>
    <t>Tiras reactivas glucemia CONTOUR NEXT 50 Uni.</t>
  </si>
  <si>
    <t xml:space="preserve">S A N O F I   D I A G N O S T I C O S </t>
  </si>
  <si>
    <t>BGSTAR 50 unidades</t>
  </si>
  <si>
    <t xml:space="preserve">I B S A </t>
  </si>
  <si>
    <t>Vitamina D3 2000 UI</t>
  </si>
  <si>
    <t>Vitamina D3 2000 UI EXPOSITOR 10 + 2 sin cargo</t>
  </si>
  <si>
    <t>Maxalt Max 10 mg. 6 Liofil.</t>
  </si>
  <si>
    <t>Zarelis Retard 225 30 comprimidos</t>
  </si>
  <si>
    <t>Bemrist Breezhaler 125 Mic. 30 cap.</t>
  </si>
  <si>
    <t>Dizinel EFG 20/40 Mg.</t>
  </si>
  <si>
    <t>Ellebrato Ellipta 92/55/22 inh. 30 dosis</t>
  </si>
  <si>
    <t>Ateroger 10 /10 Mg. 30 comprimidos</t>
  </si>
  <si>
    <t>Adolonta 50 MG, 60 cápsulas</t>
  </si>
  <si>
    <t>Adolonta 100 Mg. / 30 Ml. Solución</t>
  </si>
  <si>
    <t>Adolonta Retard 100 MG, 60 comprimidos</t>
  </si>
  <si>
    <t>Ursobilane 150 Mg. 60 cápsulas</t>
  </si>
  <si>
    <t>Vimpat 100 Mg. Jarabe 200 Ml.</t>
  </si>
  <si>
    <t>Delcrin 10.000 UI/ML gotas 10 Ml.</t>
  </si>
  <si>
    <t xml:space="preserve">Delcrin 25.000 UI solución oral unidosis 2,5 Ml. </t>
  </si>
  <si>
    <t xml:space="preserve">Delcrin 25.000 UI solución oral 4 envases unidosis 2,5 Ml. </t>
  </si>
  <si>
    <t>Latuda 18,5 Mg. 28 comprimidos</t>
  </si>
  <si>
    <t>Latuda 37 Mg. 28 comprimidos</t>
  </si>
  <si>
    <t>Latuda 74 Mg. 28 comprimidos</t>
  </si>
  <si>
    <t>Xelevia 25 Mg. 28 comprimidos</t>
  </si>
  <si>
    <t xml:space="preserve">L E O  P H A R M A </t>
  </si>
  <si>
    <t>Enstilar espuma cutánea 50 Micro. Pulve. 60 Gr.</t>
  </si>
  <si>
    <t>Januvia 25 Mg. 28 comprimidos</t>
  </si>
  <si>
    <t>Lantus Solostar 100 UI Plumas recarg. 3 Ml.</t>
  </si>
  <si>
    <t>Jardiance 25 Mg. 30 compñrimidos</t>
  </si>
  <si>
    <t>NOMBRE FARMACIA</t>
  </si>
  <si>
    <t>NOMBRE FTCO /A</t>
  </si>
  <si>
    <t>DIRECION</t>
  </si>
  <si>
    <t>PEDIDO MINIMO</t>
  </si>
  <si>
    <t>POBLACION</t>
  </si>
  <si>
    <t>PAGO</t>
  </si>
  <si>
    <t>60 DIAS</t>
  </si>
  <si>
    <t>CODIGO P.</t>
  </si>
  <si>
    <t>NIF</t>
  </si>
  <si>
    <t>ENTREGA</t>
  </si>
  <si>
    <t>24-48 H.</t>
  </si>
  <si>
    <t>IBAN</t>
  </si>
  <si>
    <t>TELEFONO</t>
  </si>
  <si>
    <t>MAIL</t>
  </si>
  <si>
    <t>FECHA PEDIDO</t>
  </si>
  <si>
    <t>SI YA ES CLIENTE, SOLO EL NOMBRE</t>
  </si>
  <si>
    <t>PEDIDO MAXIMO</t>
  </si>
  <si>
    <t>30 DIAS</t>
  </si>
  <si>
    <t>PRODUCTO</t>
  </si>
  <si>
    <t>LABORATORIO</t>
  </si>
  <si>
    <t>DTO</t>
  </si>
  <si>
    <t>UNDADES</t>
  </si>
  <si>
    <t>PVL NETO</t>
  </si>
  <si>
    <t>831115.</t>
  </si>
  <si>
    <t>SYNALAR NASAL INFANTIL GOTAS 15 ML</t>
  </si>
  <si>
    <t>TORA</t>
  </si>
  <si>
    <t>831123.</t>
  </si>
  <si>
    <t>SYNALAR NASAL ADULTOS GOTAS 15 ML</t>
  </si>
  <si>
    <t>831131.</t>
  </si>
  <si>
    <t>SYNALAR OTICO 10 ML</t>
  </si>
  <si>
    <t>992032.</t>
  </si>
  <si>
    <t>SYNALAR ESPUMA 0,25 MG 60</t>
  </si>
  <si>
    <t>995563.</t>
  </si>
  <si>
    <t xml:space="preserve">SYNALAR CREMA 0,25 30 </t>
  </si>
  <si>
    <t>831081.</t>
  </si>
  <si>
    <t>SYNALAR GAMMA 0,1 MG 30</t>
  </si>
  <si>
    <t>831099.</t>
  </si>
  <si>
    <t>SYNALAR GAMMA 0,1 MG 60</t>
  </si>
  <si>
    <t>955039.</t>
  </si>
  <si>
    <t>DIERTINE FORTE</t>
  </si>
  <si>
    <t>700680.</t>
  </si>
  <si>
    <t>DOLQUINE 200 MG 30 COMP</t>
  </si>
  <si>
    <t>RUBIO</t>
  </si>
  <si>
    <t>700681.</t>
  </si>
  <si>
    <t>ANTABUS 40 CPMP</t>
  </si>
  <si>
    <t>BOHM</t>
  </si>
  <si>
    <t>656808.</t>
  </si>
  <si>
    <t>CELECREM 0,5 MG/G 30 GR</t>
  </si>
  <si>
    <t xml:space="preserve">GALENICUM </t>
  </si>
  <si>
    <t>972786.</t>
  </si>
  <si>
    <t>CELECREM 0,5 MG/G 60 GR</t>
  </si>
  <si>
    <t>GALENICUM</t>
  </si>
  <si>
    <t>727917.</t>
  </si>
  <si>
    <t>CELECREM 1MG/G 30 GR</t>
  </si>
  <si>
    <t>779280.</t>
  </si>
  <si>
    <t>CELECREM 1MG/G 60 GR</t>
  </si>
  <si>
    <t>COD. PROD</t>
  </si>
  <si>
    <t>DESCRIPCION</t>
  </si>
  <si>
    <t>PVPR</t>
  </si>
  <si>
    <t>OFERTA 1</t>
  </si>
  <si>
    <t>OFERTA 2</t>
  </si>
  <si>
    <t xml:space="preserve"> UNIDADES</t>
  </si>
  <si>
    <t>CATEGORIA</t>
  </si>
  <si>
    <t>Alimentación y dieta</t>
  </si>
  <si>
    <t>desde 1 unidad</t>
  </si>
  <si>
    <t>CHLORELLA 90 Vcaps</t>
  </si>
  <si>
    <t>4+1 (20%)</t>
  </si>
  <si>
    <t>9+3 (25%)</t>
  </si>
  <si>
    <t>Depuración y detoxificación</t>
  </si>
  <si>
    <t>CROMOLIDER 60 Vcaps</t>
  </si>
  <si>
    <t>Control metabolico</t>
  </si>
  <si>
    <t>DRENALIDER 250 ml</t>
  </si>
  <si>
    <t>Control de peso</t>
  </si>
  <si>
    <t>FORSKOHLIDER STD 60 Vcaps</t>
  </si>
  <si>
    <t>DETOXLIDER 500 ml</t>
  </si>
  <si>
    <t>COLA DE CABALLO STD 60 Vcaps</t>
  </si>
  <si>
    <t>DIENTE DE LEON STD 60 Vcaps</t>
  </si>
  <si>
    <t>KUDZULIDER 60 Vcaps</t>
  </si>
  <si>
    <t>GARCINIA STD 60% AC. HIDROXICITRICO 60 Vcaps</t>
  </si>
  <si>
    <t>SLIMNUTRIENTS 90 Vcaps</t>
  </si>
  <si>
    <t>SLIMNUTRIENTS LIPOBLOQ 90 CAPSULAS VEGETALES</t>
  </si>
  <si>
    <t>COCOLIDER ACEITE COCO BIOLOGICO 500 ml</t>
  </si>
  <si>
    <t>HEPATIC-COMPLEX  60 Vcaps</t>
  </si>
  <si>
    <t>LACTOBACILLUS GASSERI 30 Vcaps</t>
  </si>
  <si>
    <t>SLIMNUTRIENTS LINE 300 gramos</t>
  </si>
  <si>
    <t>BERBERINA 60 Vcaps</t>
  </si>
  <si>
    <t>NAC 600 mg N ACETIL CISTEINA 60 Vcaps</t>
  </si>
  <si>
    <t>Belleza y salud</t>
  </si>
  <si>
    <t>ALLERGOLIDER (Ventolider) 60 Vcap</t>
  </si>
  <si>
    <t>Salud respiratoria</t>
  </si>
  <si>
    <t>VITAMINA C 500 mg 30 Vcaps</t>
  </si>
  <si>
    <t>Antioxidante</t>
  </si>
  <si>
    <t>NUMCKATOS 50 ml EXT. PELARGONIUM</t>
  </si>
  <si>
    <t>VITAMINA C KIDS 180 g</t>
  </si>
  <si>
    <t>COMPLEJO ENZIMATICO 90 vcaps</t>
  </si>
  <si>
    <t>11+1 (8,33%)</t>
  </si>
  <si>
    <t>Sistema gigestivo y hepático</t>
  </si>
  <si>
    <t>AGNUS CASTUS PLUS 60 Vcaps</t>
  </si>
  <si>
    <t>Salud mujer</t>
  </si>
  <si>
    <t>ALCACHOFA PLUS STD 60 Vcaps</t>
  </si>
  <si>
    <t>Control metabólico</t>
  </si>
  <si>
    <t>ASTRAGALO PLUS STD 60 Vcaps</t>
  </si>
  <si>
    <t>UÑA DE GATO STD 60 Vcaps</t>
  </si>
  <si>
    <t>Sistema inmunitario</t>
  </si>
  <si>
    <t>WILD YAM STD 60 Vcaps</t>
  </si>
  <si>
    <t>CIMICIFUGA STD 60 Vcaps</t>
  </si>
  <si>
    <t>PAU D'ARCO (LAPACHO) 90 Vcaps</t>
  </si>
  <si>
    <t>SABALLIDER 60 Vcaps</t>
  </si>
  <si>
    <t>Sistema urinario</t>
  </si>
  <si>
    <t>AGE SPLENDOR SUN STAR BETACAROTENO 30 Vcaps</t>
  </si>
  <si>
    <t>Cabello, piel y uñas</t>
  </si>
  <si>
    <t>ENZIMA LACTASA 60 CAPSULAS VEGETALES</t>
  </si>
  <si>
    <t>ARANDANOLIDER STD 30 Vcaps</t>
  </si>
  <si>
    <t>GRANADALIDER 60 Vcaps</t>
  </si>
  <si>
    <t>SILICIOLIDER 1 L</t>
  </si>
  <si>
    <t>Belleza</t>
  </si>
  <si>
    <t>PROBIOTICSLIDER 30 CAPSULAS VEGETALES</t>
  </si>
  <si>
    <t>S.O.D.LIDER SUPEROXIDO DISMUTASA SOD 30 Vcaps</t>
  </si>
  <si>
    <t>AGE SPLENDOR PELO PIEL UÑAS 30 Vcaps</t>
  </si>
  <si>
    <t>PROBIOTICSLIDER 30 Sobres</t>
  </si>
  <si>
    <t>AGE SPLENDOR FACIAL 30 Vcaps</t>
  </si>
  <si>
    <t>AGE SPLENDOR CAPILAR CON CATALASA CANABLOCK</t>
  </si>
  <si>
    <t>HEART-LIDER 30 Vcaps</t>
  </si>
  <si>
    <t>Sistema circulatorio</t>
  </si>
  <si>
    <t>ALOE STAR ZUMO DE ALOE 1 LITRO</t>
  </si>
  <si>
    <t>Sistema digestivo y hepático</t>
  </si>
  <si>
    <t>PROPOLEO &amp; EQUINACEA 60 Vcaps</t>
  </si>
  <si>
    <t>CARBON ACTIVO VEGETAL 90 Vcaps</t>
  </si>
  <si>
    <t>GERMEN DE TRIGO 125 Perlas</t>
  </si>
  <si>
    <t>WOMANSTAR ONAGRA 500 mg 400 Perlas</t>
  </si>
  <si>
    <t>COENZIMA Q10 30 Vcaps</t>
  </si>
  <si>
    <t>LOVENERGY 30 Vcaps</t>
  </si>
  <si>
    <t>Salud Sexual</t>
  </si>
  <si>
    <t>LACTOFERRINA 60 Vcaps</t>
  </si>
  <si>
    <t>DISBIO PLUS 30 Sobres</t>
  </si>
  <si>
    <t>CURCUMA CON PIMIENTA 30 Vcaps</t>
  </si>
  <si>
    <t>OMEGA 3 Triglicérido 60 Perlas</t>
  </si>
  <si>
    <t>Salud cardiovascular</t>
  </si>
  <si>
    <t>NUMCKATOS BALSAMICO 250 ml</t>
  </si>
  <si>
    <t>GEL HIDROALCOHOLICO PROTECTOR MANOS ALOE 100 ml</t>
  </si>
  <si>
    <t>GEL HIDROALCOHOLICO PROTECTOR MANOS ALOE 500 ml</t>
  </si>
  <si>
    <t>VITAMINA C 1000 mg 60 Caps Vegetales</t>
  </si>
  <si>
    <t>ZINC CITRATO 60 Vcaps</t>
  </si>
  <si>
    <t>ECHINACEA PROPOLEO FORTE 50 ml</t>
  </si>
  <si>
    <t>LACTOBACILLUS ACIDOPHILUS 30 VCaps</t>
  </si>
  <si>
    <t>NUMCKAGRIP ADULTOS 250 ml (antes Numckatos)</t>
  </si>
  <si>
    <t>ACTIDEFENSE 30 Vcaps</t>
  </si>
  <si>
    <t>COLESTERALL 60 Vcaps</t>
  </si>
  <si>
    <t>VITAMINA C 1000 mg PLUS  30 Comp</t>
  </si>
  <si>
    <t>PREMEN CALM 30 Vcaps</t>
  </si>
  <si>
    <t>RESVERATROL 60 Vcaps</t>
  </si>
  <si>
    <t>PREXIBO 90 Vcaps</t>
  </si>
  <si>
    <t>PRECOV 30 Sobres</t>
  </si>
  <si>
    <t>EQUINACEA &amp; PROPOLEO 60 Vcap</t>
  </si>
  <si>
    <t>CANDISYN 30 Vcaps</t>
  </si>
  <si>
    <t>PROBIOTICSLIDER 30 Vcaps</t>
  </si>
  <si>
    <t>COLAGEN VEGGIE 1 L</t>
  </si>
  <si>
    <t>CIRCULIDER 60 Vcaps</t>
  </si>
  <si>
    <t>PREBOT 330 g</t>
  </si>
  <si>
    <t>PROBIOTICSLIDER KIDS 30 Sticks</t>
  </si>
  <si>
    <t>MENO-CALM 30 Vcaps</t>
  </si>
  <si>
    <t>SOP-CALM 30 Vcaps</t>
  </si>
  <si>
    <t>MAMI-CALM 30 Vcaps</t>
  </si>
  <si>
    <t>MAMI-CALM 90 Vcaps</t>
  </si>
  <si>
    <t>PERMEA TOTAL 300 g</t>
  </si>
  <si>
    <t>TOLENZIM 60 VCaps</t>
  </si>
  <si>
    <t>OXI-CALM 30 Vcaps</t>
  </si>
  <si>
    <t>YODO (IODO) 30 Vcaps</t>
  </si>
  <si>
    <t xml:space="preserve">Deporte </t>
  </si>
  <si>
    <t>CORAL CALCIO PLUS 90 Vcaps</t>
  </si>
  <si>
    <t>Salud osteoarticular</t>
  </si>
  <si>
    <t>MACALIDER PLUS 60 Vcaps</t>
  </si>
  <si>
    <t>Deporte y resistencia</t>
  </si>
  <si>
    <t>ARTILIDER 60 Vcaps</t>
  </si>
  <si>
    <t>DOXILIDER 30 CAPSULAS VEGETALES</t>
  </si>
  <si>
    <t>COLAGENLIDER PLUS 180 g - COLAGENO HIDROLIZADO</t>
  </si>
  <si>
    <t>MANGOSTANLIDER MANGOSTINO 60 Vcaps</t>
  </si>
  <si>
    <t>ARTIFLEX SPORT 90 VCAPS</t>
  </si>
  <si>
    <t>COLAGENO CON MAGNESIO VAINILLA 540 g</t>
  </si>
  <si>
    <t>GUARANA 90 Vcaps</t>
  </si>
  <si>
    <t>CARTILAGO DE TIBURON 90 Vcaps</t>
  </si>
  <si>
    <t>CARBONATO MAGNESIO 120 COMPRIMIDOS</t>
  </si>
  <si>
    <t>Salud muscular</t>
  </si>
  <si>
    <t>CARBONATO MAGNESIO 200 gr</t>
  </si>
  <si>
    <t>COLAGENLIDER PLUS 180 Comp</t>
  </si>
  <si>
    <t>L-CARNITINA LIQUIDA CON SINEFRINA 500 ml</t>
  </si>
  <si>
    <t>CARBONATO MAGNESIO 150 g</t>
  </si>
  <si>
    <t>CARBONATO MAGNESIO 120 Comp</t>
  </si>
  <si>
    <t>FLEXICALM 30 Vcaps</t>
  </si>
  <si>
    <t>Estado de ánimo</t>
  </si>
  <si>
    <t>KALMLIDER 15 mg 60 Vcaps</t>
  </si>
  <si>
    <t>Sistema nervioso</t>
  </si>
  <si>
    <t>SERENLIDER (ANXIOLIDER) 60 Vcaps</t>
  </si>
  <si>
    <t>VITAMINA B COMPLEX 60 Vcaps</t>
  </si>
  <si>
    <t>Energía y vitalidad</t>
  </si>
  <si>
    <t>5-HTPLIDER 60 Vcaps</t>
  </si>
  <si>
    <t>MEMORLIDER 30 Vcaps</t>
  </si>
  <si>
    <t>Memoria y concentración</t>
  </si>
  <si>
    <t>MELATONINA 30 Vcaps</t>
  </si>
  <si>
    <t>Descanso y relax</t>
  </si>
  <si>
    <t>AÇAI 60 Vcaps</t>
  </si>
  <si>
    <t>FO-TI  90 Vcaps</t>
  </si>
  <si>
    <t>TRIPTOFANO MAGNESIO VITAMINA B6 120 Comp</t>
  </si>
  <si>
    <t>MELATOLIDER 1,9 mg 30 Comp Retard</t>
  </si>
  <si>
    <t>DORMILIDER MELATONINA 30Comp RETARD</t>
  </si>
  <si>
    <t>COMPLEJO VITAMINICO 60 Vcaps</t>
  </si>
  <si>
    <t>HIPNOX 60 Caps</t>
  </si>
  <si>
    <t>HIPNOX 90 Caps</t>
  </si>
  <si>
    <t>EM CONTROL 300 g</t>
  </si>
  <si>
    <t>709377.</t>
  </si>
  <si>
    <t>prenamid 50 microgramos</t>
  </si>
  <si>
    <t>721474.</t>
  </si>
  <si>
    <t>zorequin 30 mg 60 gr</t>
  </si>
  <si>
    <t>RECARGO. EQUIVALEN</t>
  </si>
</sst>
</file>

<file path=xl/styles.xml><?xml version="1.0" encoding="utf-8"?>
<styleSheet xmlns="http://schemas.openxmlformats.org/spreadsheetml/2006/main">
  <numFmts count="8">
    <numFmt numFmtId="6" formatCode="#,##0\ &quot;€&quot;;[Red]\-#,##0\ &quot;€&quot;"/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&quot; €&quot;;[Red]\-#,##0&quot; €&quot;"/>
    <numFmt numFmtId="165" formatCode="[$-C0A]dd/mm/yyyy"/>
    <numFmt numFmtId="166" formatCode="0.0"/>
    <numFmt numFmtId="167" formatCode="000000"/>
    <numFmt numFmtId="168" formatCode="0.00\ \€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rgb="FF0070C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name val="Calibri"/>
      <family val="2"/>
      <scheme val="minor"/>
    </font>
    <font>
      <b/>
      <sz val="11"/>
      <color rgb="FF000000"/>
      <name val="Calibri"/>
      <family val="2"/>
      <charset val="1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2"/>
      <color indexed="8"/>
      <name val="Calibri"/>
      <family val="2"/>
      <scheme val="minor"/>
    </font>
    <font>
      <b/>
      <sz val="20"/>
      <color indexed="8"/>
      <name val="Calibri"/>
      <family val="2"/>
      <scheme val="minor"/>
    </font>
    <font>
      <sz val="12"/>
      <name val="Calibri"/>
      <family val="2"/>
    </font>
    <font>
      <sz val="12"/>
      <color rgb="FF000000"/>
      <name val="Calibri"/>
      <family val="2"/>
    </font>
    <font>
      <sz val="14"/>
      <name val="Calibri"/>
      <family val="2"/>
    </font>
    <font>
      <sz val="12"/>
      <color theme="0"/>
      <name val="Calibri"/>
      <family val="2"/>
    </font>
    <font>
      <b/>
      <sz val="12"/>
      <name val="Calibri"/>
      <family val="2"/>
    </font>
    <font>
      <sz val="16"/>
      <name val="Calibri"/>
      <family val="2"/>
    </font>
    <font>
      <b/>
      <sz val="16"/>
      <color theme="1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rgb="FF00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  <fill>
      <patternFill patternType="solid">
        <fgColor rgb="FF00FF00"/>
        <bgColor rgb="FF00CC00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6FAC46"/>
      </right>
      <top style="thin">
        <color rgb="FF6FAC46"/>
      </top>
      <bottom style="thin">
        <color rgb="FF6FAC46"/>
      </bottom>
      <diagonal/>
    </border>
    <border>
      <left style="thin">
        <color rgb="FF6FAC46"/>
      </left>
      <right style="thin">
        <color rgb="FF6FAC46"/>
      </right>
      <top style="thin">
        <color rgb="FF6FAC46"/>
      </top>
      <bottom style="thin">
        <color rgb="FF6FAC46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/>
    <xf numFmtId="9" fontId="1" fillId="0" borderId="0" applyFont="0" applyFill="0" applyBorder="0" applyAlignment="0" applyProtection="0"/>
  </cellStyleXfs>
  <cellXfs count="346">
    <xf numFmtId="0" fontId="0" fillId="0" borderId="0" xfId="0"/>
    <xf numFmtId="4" fontId="2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3" fontId="3" fillId="0" borderId="1" xfId="0" applyNumberFormat="1" applyFont="1" applyFill="1" applyBorder="1" applyAlignment="1">
      <alignment horizontal="left" vertical="center"/>
    </xf>
    <xf numFmtId="4" fontId="3" fillId="0" borderId="1" xfId="0" applyNumberFormat="1" applyFont="1" applyFill="1" applyBorder="1" applyAlignment="1">
      <alignment horizontal="right" vertical="center"/>
    </xf>
    <xf numFmtId="4" fontId="2" fillId="0" borderId="1" xfId="0" applyNumberFormat="1" applyFont="1" applyFill="1" applyBorder="1" applyAlignment="1">
      <alignment horizontal="right" vertical="center"/>
    </xf>
    <xf numFmtId="4" fontId="3" fillId="0" borderId="1" xfId="0" applyNumberFormat="1" applyFont="1" applyFill="1" applyBorder="1"/>
    <xf numFmtId="16" fontId="3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1" fontId="3" fillId="0" borderId="0" xfId="0" applyNumberFormat="1" applyFont="1" applyFill="1" applyBorder="1" applyAlignment="1">
      <alignment vertical="center"/>
    </xf>
    <xf numFmtId="0" fontId="3" fillId="0" borderId="1" xfId="0" quotePrefix="1" applyFont="1" applyFill="1" applyBorder="1" applyAlignment="1">
      <alignment horizontal="left" vertical="center"/>
    </xf>
    <xf numFmtId="4" fontId="2" fillId="2" borderId="1" xfId="0" applyNumberFormat="1" applyFont="1" applyFill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/>
    </xf>
    <xf numFmtId="4" fontId="3" fillId="0" borderId="1" xfId="0" applyNumberFormat="1" applyFont="1" applyBorder="1" applyAlignment="1">
      <alignment horizontal="right" vertical="center"/>
    </xf>
    <xf numFmtId="0" fontId="3" fillId="0" borderId="0" xfId="0" applyFont="1" applyFill="1" applyBorder="1" applyAlignment="1">
      <alignment horizontal="left" vertical="center"/>
    </xf>
    <xf numFmtId="4" fontId="3" fillId="0" borderId="0" xfId="0" applyNumberFormat="1" applyFont="1" applyFill="1" applyBorder="1" applyAlignment="1">
      <alignment horizontal="right" vertical="center"/>
    </xf>
    <xf numFmtId="4" fontId="3" fillId="0" borderId="1" xfId="0" applyNumberFormat="1" applyFont="1" applyFill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right"/>
    </xf>
    <xf numFmtId="4" fontId="2" fillId="4" borderId="1" xfId="0" applyNumberFormat="1" applyFont="1" applyFill="1" applyBorder="1" applyAlignment="1">
      <alignment horizontal="right" vertical="center"/>
    </xf>
    <xf numFmtId="4" fontId="3" fillId="4" borderId="1" xfId="0" applyNumberFormat="1" applyFont="1" applyFill="1" applyBorder="1" applyAlignment="1">
      <alignment horizontal="right" vertical="center"/>
    </xf>
    <xf numFmtId="4" fontId="3" fillId="0" borderId="2" xfId="0" applyNumberFormat="1" applyFont="1" applyFill="1" applyBorder="1" applyAlignment="1">
      <alignment horizontal="center" vertical="center"/>
    </xf>
    <xf numFmtId="4" fontId="3" fillId="0" borderId="2" xfId="0" applyNumberFormat="1" applyFont="1" applyFill="1" applyBorder="1" applyAlignment="1">
      <alignment horizontal="right" vertical="center"/>
    </xf>
    <xf numFmtId="4" fontId="3" fillId="0" borderId="2" xfId="0" applyNumberFormat="1" applyFont="1" applyBorder="1" applyAlignment="1">
      <alignment horizontal="right" vertical="center"/>
    </xf>
    <xf numFmtId="0" fontId="2" fillId="5" borderId="4" xfId="0" applyFont="1" applyFill="1" applyBorder="1" applyAlignment="1">
      <alignment vertical="center"/>
    </xf>
    <xf numFmtId="3" fontId="2" fillId="5" borderId="4" xfId="0" applyNumberFormat="1" applyFont="1" applyFill="1" applyBorder="1" applyAlignment="1">
      <alignment vertical="center"/>
    </xf>
    <xf numFmtId="0" fontId="2" fillId="5" borderId="5" xfId="0" applyFont="1" applyFill="1" applyBorder="1" applyAlignment="1">
      <alignment vertical="center"/>
    </xf>
    <xf numFmtId="3" fontId="2" fillId="5" borderId="5" xfId="0" applyNumberFormat="1" applyFont="1" applyFill="1" applyBorder="1" applyAlignment="1">
      <alignment vertical="center"/>
    </xf>
    <xf numFmtId="4" fontId="2" fillId="5" borderId="4" xfId="0" applyNumberFormat="1" applyFont="1" applyFill="1" applyBorder="1" applyAlignment="1">
      <alignment horizontal="center" vertical="center"/>
    </xf>
    <xf numFmtId="3" fontId="2" fillId="5" borderId="6" xfId="0" applyNumberFormat="1" applyFont="1" applyFill="1" applyBorder="1" applyAlignment="1">
      <alignment vertical="center"/>
    </xf>
    <xf numFmtId="3" fontId="2" fillId="0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left" vertical="center"/>
    </xf>
    <xf numFmtId="4" fontId="3" fillId="0" borderId="7" xfId="0" applyNumberFormat="1" applyFont="1" applyFill="1" applyBorder="1" applyAlignment="1">
      <alignment vertical="center"/>
    </xf>
    <xf numFmtId="0" fontId="3" fillId="3" borderId="9" xfId="0" applyFont="1" applyFill="1" applyBorder="1" applyAlignment="1">
      <alignment vertical="center"/>
    </xf>
    <xf numFmtId="1" fontId="3" fillId="0" borderId="8" xfId="0" applyNumberFormat="1" applyFont="1" applyFill="1" applyBorder="1" applyAlignment="1">
      <alignment horizontal="center" vertical="center"/>
    </xf>
    <xf numFmtId="4" fontId="3" fillId="0" borderId="9" xfId="0" applyNumberFormat="1" applyFont="1" applyFill="1" applyBorder="1" applyAlignment="1">
      <alignment horizontal="right" vertical="center"/>
    </xf>
    <xf numFmtId="4" fontId="4" fillId="0" borderId="9" xfId="0" applyNumberFormat="1" applyFont="1" applyFill="1" applyBorder="1" applyAlignment="1">
      <alignment horizontal="right" vertical="center"/>
    </xf>
    <xf numFmtId="4" fontId="2" fillId="0" borderId="9" xfId="0" applyNumberFormat="1" applyFont="1" applyFill="1" applyBorder="1" applyAlignment="1">
      <alignment horizontal="right" vertical="center"/>
    </xf>
    <xf numFmtId="0" fontId="3" fillId="3" borderId="11" xfId="0" applyFont="1" applyFill="1" applyBorder="1" applyAlignment="1">
      <alignment vertical="center"/>
    </xf>
    <xf numFmtId="1" fontId="2" fillId="0" borderId="8" xfId="0" applyNumberFormat="1" applyFont="1" applyFill="1" applyBorder="1" applyAlignment="1">
      <alignment horizontal="center" vertical="center"/>
    </xf>
    <xf numFmtId="4" fontId="2" fillId="0" borderId="9" xfId="0" applyNumberFormat="1" applyFont="1" applyFill="1" applyBorder="1" applyAlignment="1">
      <alignment horizontal="center" vertical="center"/>
    </xf>
    <xf numFmtId="1" fontId="3" fillId="0" borderId="8" xfId="0" applyNumberFormat="1" applyFont="1" applyFill="1" applyBorder="1" applyAlignment="1">
      <alignment horizontal="center"/>
    </xf>
    <xf numFmtId="4" fontId="2" fillId="3" borderId="9" xfId="0" applyNumberFormat="1" applyFont="1" applyFill="1" applyBorder="1" applyAlignment="1">
      <alignment horizontal="right" vertical="center"/>
    </xf>
    <xf numFmtId="1" fontId="3" fillId="0" borderId="8" xfId="0" quotePrefix="1" applyNumberFormat="1" applyFont="1" applyFill="1" applyBorder="1" applyAlignment="1">
      <alignment horizontal="center" vertical="center"/>
    </xf>
    <xf numFmtId="1" fontId="3" fillId="0" borderId="8" xfId="0" applyNumberFormat="1" applyFont="1" applyBorder="1" applyAlignment="1">
      <alignment horizontal="center" vertical="center"/>
    </xf>
    <xf numFmtId="4" fontId="2" fillId="0" borderId="9" xfId="0" applyNumberFormat="1" applyFont="1" applyBorder="1" applyAlignment="1">
      <alignment horizontal="right" vertical="center"/>
    </xf>
    <xf numFmtId="1" fontId="3" fillId="0" borderId="13" xfId="0" applyNumberFormat="1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left" vertical="center"/>
    </xf>
    <xf numFmtId="4" fontId="2" fillId="2" borderId="14" xfId="0" applyNumberFormat="1" applyFont="1" applyFill="1" applyBorder="1" applyAlignment="1">
      <alignment horizontal="right" vertical="center"/>
    </xf>
    <xf numFmtId="4" fontId="3" fillId="0" borderId="14" xfId="0" applyNumberFormat="1" applyFont="1" applyFill="1" applyBorder="1" applyAlignment="1">
      <alignment horizontal="right" vertical="center"/>
    </xf>
    <xf numFmtId="4" fontId="3" fillId="0" borderId="15" xfId="0" applyNumberFormat="1" applyFont="1" applyFill="1" applyBorder="1" applyAlignment="1">
      <alignment horizontal="right" vertical="center"/>
    </xf>
    <xf numFmtId="4" fontId="2" fillId="0" borderId="16" xfId="0" applyNumberFormat="1" applyFont="1" applyFill="1" applyBorder="1" applyAlignment="1">
      <alignment horizontal="right" vertical="center"/>
    </xf>
    <xf numFmtId="0" fontId="0" fillId="0" borderId="2" xfId="0" applyFont="1" applyBorder="1" applyAlignment="1">
      <alignment horizontal="left"/>
    </xf>
    <xf numFmtId="0" fontId="7" fillId="6" borderId="12" xfId="0" applyFont="1" applyFill="1" applyBorder="1" applyAlignment="1">
      <alignment horizontal="left"/>
    </xf>
    <xf numFmtId="0" fontId="0" fillId="6" borderId="4" xfId="0" applyFont="1" applyFill="1" applyBorder="1" applyAlignment="1">
      <alignment horizontal="left"/>
    </xf>
    <xf numFmtId="0" fontId="0" fillId="7" borderId="0" xfId="0" applyFont="1" applyFill="1" applyBorder="1" applyAlignment="1">
      <alignment horizontal="left"/>
    </xf>
    <xf numFmtId="0" fontId="7" fillId="7" borderId="0" xfId="0" applyFont="1" applyFill="1" applyBorder="1" applyAlignment="1">
      <alignment horizontal="center"/>
    </xf>
    <xf numFmtId="164" fontId="7" fillId="8" borderId="23" xfId="0" applyNumberFormat="1" applyFont="1" applyFill="1" applyBorder="1" applyAlignment="1">
      <alignment horizontal="left" vertical="center"/>
    </xf>
    <xf numFmtId="0" fontId="0" fillId="7" borderId="0" xfId="0" applyFont="1" applyFill="1" applyBorder="1" applyAlignment="1">
      <alignment horizontal="left" vertical="center"/>
    </xf>
    <xf numFmtId="0" fontId="0" fillId="6" borderId="4" xfId="0" applyFill="1" applyBorder="1" applyAlignment="1">
      <alignment horizontal="left"/>
    </xf>
    <xf numFmtId="165" fontId="0" fillId="6" borderId="6" xfId="0" applyNumberFormat="1" applyFill="1" applyBorder="1" applyAlignment="1">
      <alignment horizontal="left"/>
    </xf>
    <xf numFmtId="0" fontId="0" fillId="7" borderId="17" xfId="0" applyFont="1" applyFill="1" applyBorder="1" applyAlignment="1">
      <alignment horizontal="left"/>
    </xf>
    <xf numFmtId="0" fontId="0" fillId="7" borderId="18" xfId="0" applyFont="1" applyFill="1" applyBorder="1" applyAlignment="1">
      <alignment horizontal="left"/>
    </xf>
    <xf numFmtId="0" fontId="7" fillId="7" borderId="18" xfId="0" applyFont="1" applyFill="1" applyBorder="1" applyAlignment="1">
      <alignment horizontal="center"/>
    </xf>
    <xf numFmtId="0" fontId="0" fillId="7" borderId="19" xfId="0" applyFont="1" applyFill="1" applyBorder="1" applyAlignment="1">
      <alignment horizontal="right"/>
    </xf>
    <xf numFmtId="0" fontId="0" fillId="7" borderId="10" xfId="0" applyFont="1" applyFill="1" applyBorder="1" applyAlignment="1">
      <alignment horizontal="left"/>
    </xf>
    <xf numFmtId="0" fontId="0" fillId="7" borderId="11" xfId="0" applyFont="1" applyFill="1" applyBorder="1" applyAlignment="1">
      <alignment horizontal="right"/>
    </xf>
    <xf numFmtId="0" fontId="0" fillId="7" borderId="0" xfId="0" applyFont="1" applyFill="1" applyBorder="1"/>
    <xf numFmtId="0" fontId="0" fillId="7" borderId="20" xfId="0" applyFont="1" applyFill="1" applyBorder="1" applyAlignment="1">
      <alignment horizontal="left"/>
    </xf>
    <xf numFmtId="0" fontId="0" fillId="7" borderId="21" xfId="0" applyFont="1" applyFill="1" applyBorder="1" applyAlignment="1">
      <alignment horizontal="left"/>
    </xf>
    <xf numFmtId="0" fontId="7" fillId="7" borderId="21" xfId="0" applyFont="1" applyFill="1" applyBorder="1" applyAlignment="1">
      <alignment horizontal="center"/>
    </xf>
    <xf numFmtId="0" fontId="0" fillId="7" borderId="22" xfId="0" applyFont="1" applyFill="1" applyBorder="1" applyAlignment="1">
      <alignment horizontal="right"/>
    </xf>
    <xf numFmtId="0" fontId="2" fillId="5" borderId="27" xfId="0" applyFont="1" applyFill="1" applyBorder="1" applyAlignment="1">
      <alignment vertical="center"/>
    </xf>
    <xf numFmtId="0" fontId="3" fillId="3" borderId="28" xfId="0" applyFont="1" applyFill="1" applyBorder="1" applyAlignment="1">
      <alignment vertical="center"/>
    </xf>
    <xf numFmtId="1" fontId="2" fillId="0" borderId="29" xfId="0" applyNumberFormat="1" applyFont="1" applyFill="1" applyBorder="1" applyAlignment="1">
      <alignment horizontal="center" vertical="center"/>
    </xf>
    <xf numFmtId="4" fontId="2" fillId="0" borderId="30" xfId="0" applyNumberFormat="1" applyFont="1" applyFill="1" applyBorder="1" applyAlignment="1">
      <alignment horizontal="center" vertical="center"/>
    </xf>
    <xf numFmtId="4" fontId="6" fillId="2" borderId="30" xfId="0" applyNumberFormat="1" applyFont="1" applyFill="1" applyBorder="1" applyAlignment="1">
      <alignment horizontal="center" vertical="center"/>
    </xf>
    <xf numFmtId="4" fontId="3" fillId="0" borderId="30" xfId="0" applyNumberFormat="1" applyFont="1" applyFill="1" applyBorder="1" applyAlignment="1">
      <alignment horizontal="center" vertical="center"/>
    </xf>
    <xf numFmtId="4" fontId="6" fillId="4" borderId="30" xfId="0" applyNumberFormat="1" applyFont="1" applyFill="1" applyBorder="1" applyAlignment="1">
      <alignment horizontal="center" vertical="center"/>
    </xf>
    <xf numFmtId="4" fontId="3" fillId="0" borderId="31" xfId="0" applyNumberFormat="1" applyFont="1" applyFill="1" applyBorder="1" applyAlignment="1">
      <alignment horizontal="center" vertical="center"/>
    </xf>
    <xf numFmtId="4" fontId="6" fillId="5" borderId="23" xfId="0" applyNumberFormat="1" applyFont="1" applyFill="1" applyBorder="1" applyAlignment="1">
      <alignment horizontal="center" vertical="center"/>
    </xf>
    <xf numFmtId="4" fontId="2" fillId="0" borderId="32" xfId="0" applyNumberFormat="1" applyFont="1" applyFill="1" applyBorder="1" applyAlignment="1">
      <alignment horizontal="center" vertical="center"/>
    </xf>
    <xf numFmtId="0" fontId="8" fillId="0" borderId="2" xfId="0" applyFont="1" applyBorder="1"/>
    <xf numFmtId="0" fontId="5" fillId="9" borderId="4" xfId="0" applyFont="1" applyFill="1" applyBorder="1"/>
    <xf numFmtId="0" fontId="8" fillId="10" borderId="33" xfId="0" applyFont="1" applyFill="1" applyBorder="1"/>
    <xf numFmtId="0" fontId="8" fillId="10" borderId="33" xfId="0" applyFont="1" applyFill="1" applyBorder="1" applyAlignment="1">
      <alignment horizontal="left"/>
    </xf>
    <xf numFmtId="0" fontId="8" fillId="10" borderId="33" xfId="0" applyFont="1" applyFill="1" applyBorder="1" applyAlignment="1">
      <alignment horizontal="center"/>
    </xf>
    <xf numFmtId="0" fontId="8" fillId="10" borderId="34" xfId="0" applyFont="1" applyFill="1" applyBorder="1" applyAlignment="1">
      <alignment horizontal="center" vertical="center"/>
    </xf>
    <xf numFmtId="0" fontId="8" fillId="10" borderId="34" xfId="0" applyFont="1" applyFill="1" applyBorder="1"/>
    <xf numFmtId="0" fontId="8" fillId="0" borderId="0" xfId="0" applyFont="1"/>
    <xf numFmtId="0" fontId="8" fillId="9" borderId="4" xfId="0" applyFont="1" applyFill="1" applyBorder="1"/>
    <xf numFmtId="0" fontId="8" fillId="10" borderId="0" xfId="0" applyFont="1" applyFill="1" applyBorder="1"/>
    <xf numFmtId="0" fontId="8" fillId="10" borderId="0" xfId="0" applyFont="1" applyFill="1" applyBorder="1" applyAlignment="1">
      <alignment horizontal="left"/>
    </xf>
    <xf numFmtId="0" fontId="8" fillId="10" borderId="0" xfId="0" applyFont="1" applyFill="1" applyBorder="1" applyAlignment="1">
      <alignment horizontal="center"/>
    </xf>
    <xf numFmtId="0" fontId="8" fillId="10" borderId="35" xfId="0" applyFont="1" applyFill="1" applyBorder="1" applyAlignment="1">
      <alignment horizontal="center" vertical="center"/>
    </xf>
    <xf numFmtId="0" fontId="8" fillId="10" borderId="35" xfId="0" applyFont="1" applyFill="1" applyBorder="1"/>
    <xf numFmtId="0" fontId="8" fillId="10" borderId="0" xfId="0" applyFont="1" applyFill="1" applyBorder="1" applyAlignment="1">
      <alignment horizontal="right"/>
    </xf>
    <xf numFmtId="6" fontId="5" fillId="2" borderId="23" xfId="0" applyNumberFormat="1" applyFont="1" applyFill="1" applyBorder="1" applyAlignment="1">
      <alignment horizontal="left"/>
    </xf>
    <xf numFmtId="6" fontId="8" fillId="10" borderId="0" xfId="0" applyNumberFormat="1" applyFont="1" applyFill="1" applyBorder="1" applyAlignment="1">
      <alignment horizontal="left"/>
    </xf>
    <xf numFmtId="0" fontId="8" fillId="0" borderId="36" xfId="0" applyFont="1" applyBorder="1"/>
    <xf numFmtId="14" fontId="8" fillId="9" borderId="37" xfId="0" applyNumberFormat="1" applyFont="1" applyFill="1" applyBorder="1" applyAlignment="1">
      <alignment horizontal="left"/>
    </xf>
    <xf numFmtId="0" fontId="10" fillId="10" borderId="29" xfId="3" applyFont="1" applyFill="1" applyBorder="1" applyAlignment="1">
      <alignment horizontal="left" vertical="center"/>
    </xf>
    <xf numFmtId="0" fontId="10" fillId="10" borderId="30" xfId="3" applyFont="1" applyFill="1" applyBorder="1" applyAlignment="1">
      <alignment horizontal="left" vertical="center"/>
    </xf>
    <xf numFmtId="2" fontId="11" fillId="0" borderId="30" xfId="3" applyNumberFormat="1" applyFont="1" applyFill="1" applyBorder="1" applyAlignment="1">
      <alignment horizontal="left" vertical="center"/>
    </xf>
    <xf numFmtId="2" fontId="10" fillId="0" borderId="30" xfId="3" applyNumberFormat="1" applyFont="1" applyFill="1" applyBorder="1" applyAlignment="1">
      <alignment horizontal="left" vertical="center"/>
    </xf>
    <xf numFmtId="0" fontId="5" fillId="0" borderId="38" xfId="0" applyFont="1" applyBorder="1" applyAlignment="1">
      <alignment horizontal="center" vertical="center"/>
    </xf>
    <xf numFmtId="166" fontId="8" fillId="11" borderId="39" xfId="0" applyNumberFormat="1" applyFont="1" applyFill="1" applyBorder="1" applyAlignment="1">
      <alignment horizontal="left"/>
    </xf>
    <xf numFmtId="0" fontId="8" fillId="11" borderId="40" xfId="0" applyFont="1" applyFill="1" applyBorder="1"/>
    <xf numFmtId="0" fontId="8" fillId="11" borderId="40" xfId="0" applyFont="1" applyFill="1" applyBorder="1" applyAlignment="1">
      <alignment horizontal="left" vertical="center"/>
    </xf>
    <xf numFmtId="2" fontId="8" fillId="11" borderId="40" xfId="0" applyNumberFormat="1" applyFont="1" applyFill="1" applyBorder="1" applyAlignment="1">
      <alignment horizontal="left" vertical="center"/>
    </xf>
    <xf numFmtId="9" fontId="8" fillId="11" borderId="41" xfId="0" applyNumberFormat="1" applyFont="1" applyFill="1" applyBorder="1" applyAlignment="1">
      <alignment horizontal="left" vertical="center"/>
    </xf>
    <xf numFmtId="3" fontId="5" fillId="9" borderId="42" xfId="0" applyNumberFormat="1" applyFont="1" applyFill="1" applyBorder="1" applyAlignment="1">
      <alignment horizontal="center" vertical="center"/>
    </xf>
    <xf numFmtId="43" fontId="8" fillId="11" borderId="43" xfId="2" applyNumberFormat="1" applyFont="1" applyFill="1" applyBorder="1" applyAlignment="1">
      <alignment horizontal="center"/>
    </xf>
    <xf numFmtId="166" fontId="8" fillId="11" borderId="8" xfId="0" applyNumberFormat="1" applyFont="1" applyFill="1" applyBorder="1" applyAlignment="1">
      <alignment horizontal="left"/>
    </xf>
    <xf numFmtId="0" fontId="8" fillId="11" borderId="1" xfId="0" applyFont="1" applyFill="1" applyBorder="1"/>
    <xf numFmtId="0" fontId="8" fillId="11" borderId="25" xfId="0" applyFont="1" applyFill="1" applyBorder="1" applyAlignment="1">
      <alignment horizontal="left" vertical="center"/>
    </xf>
    <xf numFmtId="2" fontId="8" fillId="11" borderId="1" xfId="0" applyNumberFormat="1" applyFont="1" applyFill="1" applyBorder="1" applyAlignment="1">
      <alignment horizontal="left" vertical="center"/>
    </xf>
    <xf numFmtId="9" fontId="8" fillId="11" borderId="2" xfId="0" applyNumberFormat="1" applyFont="1" applyFill="1" applyBorder="1" applyAlignment="1">
      <alignment horizontal="left" vertical="center"/>
    </xf>
    <xf numFmtId="3" fontId="5" fillId="9" borderId="4" xfId="0" applyNumberFormat="1" applyFont="1" applyFill="1" applyBorder="1" applyAlignment="1">
      <alignment horizontal="center" vertical="center"/>
    </xf>
    <xf numFmtId="43" fontId="8" fillId="11" borderId="9" xfId="2" applyNumberFormat="1" applyFont="1" applyFill="1" applyBorder="1" applyAlignment="1">
      <alignment horizontal="center" vertical="center"/>
    </xf>
    <xf numFmtId="166" fontId="8" fillId="11" borderId="44" xfId="0" applyNumberFormat="1" applyFont="1" applyFill="1" applyBorder="1" applyAlignment="1">
      <alignment horizontal="left"/>
    </xf>
    <xf numFmtId="0" fontId="8" fillId="11" borderId="45" xfId="0" applyFont="1" applyFill="1" applyBorder="1"/>
    <xf numFmtId="2" fontId="8" fillId="11" borderId="45" xfId="0" applyNumberFormat="1" applyFont="1" applyFill="1" applyBorder="1" applyAlignment="1">
      <alignment horizontal="left" vertical="center"/>
    </xf>
    <xf numFmtId="9" fontId="8" fillId="11" borderId="36" xfId="0" applyNumberFormat="1" applyFont="1" applyFill="1" applyBorder="1" applyAlignment="1">
      <alignment horizontal="left" vertical="center"/>
    </xf>
    <xf numFmtId="43" fontId="8" fillId="11" borderId="46" xfId="2" applyNumberFormat="1" applyFont="1" applyFill="1" applyBorder="1" applyAlignment="1">
      <alignment horizontal="center" vertical="center"/>
    </xf>
    <xf numFmtId="166" fontId="8" fillId="12" borderId="44" xfId="0" applyNumberFormat="1" applyFont="1" applyFill="1" applyBorder="1" applyAlignment="1">
      <alignment horizontal="left"/>
    </xf>
    <xf numFmtId="0" fontId="8" fillId="12" borderId="45" xfId="0" applyFont="1" applyFill="1" applyBorder="1"/>
    <xf numFmtId="0" fontId="8" fillId="12" borderId="25" xfId="0" applyFont="1" applyFill="1" applyBorder="1" applyAlignment="1">
      <alignment horizontal="left" vertical="center"/>
    </xf>
    <xf numFmtId="2" fontId="8" fillId="12" borderId="45" xfId="0" applyNumberFormat="1" applyFont="1" applyFill="1" applyBorder="1" applyAlignment="1">
      <alignment horizontal="left" vertical="center"/>
    </xf>
    <xf numFmtId="0" fontId="8" fillId="12" borderId="47" xfId="0" applyFont="1" applyFill="1" applyBorder="1" applyAlignment="1">
      <alignment horizontal="left" vertical="center"/>
    </xf>
    <xf numFmtId="166" fontId="8" fillId="13" borderId="39" xfId="0" applyNumberFormat="1" applyFont="1" applyFill="1" applyBorder="1" applyAlignment="1">
      <alignment horizontal="left"/>
    </xf>
    <xf numFmtId="0" fontId="8" fillId="13" borderId="40" xfId="0" applyFont="1" applyFill="1" applyBorder="1"/>
    <xf numFmtId="0" fontId="8" fillId="13" borderId="40" xfId="0" applyFont="1" applyFill="1" applyBorder="1" applyAlignment="1">
      <alignment horizontal="left" vertical="center"/>
    </xf>
    <xf numFmtId="2" fontId="8" fillId="13" borderId="40" xfId="0" applyNumberFormat="1" applyFont="1" applyFill="1" applyBorder="1" applyAlignment="1">
      <alignment horizontal="left" vertical="center"/>
    </xf>
    <xf numFmtId="3" fontId="5" fillId="9" borderId="3" xfId="0" applyNumberFormat="1" applyFont="1" applyFill="1" applyBorder="1" applyAlignment="1">
      <alignment horizontal="center" vertical="center"/>
    </xf>
    <xf numFmtId="166" fontId="8" fillId="13" borderId="8" xfId="0" applyNumberFormat="1" applyFont="1" applyFill="1" applyBorder="1" applyAlignment="1">
      <alignment horizontal="left"/>
    </xf>
    <xf numFmtId="0" fontId="8" fillId="13" borderId="1" xfId="0" applyFont="1" applyFill="1" applyBorder="1"/>
    <xf numFmtId="0" fontId="8" fillId="13" borderId="1" xfId="0" applyFont="1" applyFill="1" applyBorder="1" applyAlignment="1">
      <alignment horizontal="left" vertical="center"/>
    </xf>
    <xf numFmtId="2" fontId="8" fillId="13" borderId="1" xfId="0" applyNumberFormat="1" applyFont="1" applyFill="1" applyBorder="1" applyAlignment="1">
      <alignment horizontal="left" vertical="center"/>
    </xf>
    <xf numFmtId="166" fontId="8" fillId="13" borderId="13" xfId="0" applyNumberFormat="1" applyFont="1" applyFill="1" applyBorder="1" applyAlignment="1">
      <alignment horizontal="left"/>
    </xf>
    <xf numFmtId="0" fontId="8" fillId="13" borderId="14" xfId="0" applyFont="1" applyFill="1" applyBorder="1"/>
    <xf numFmtId="0" fontId="8" fillId="13" borderId="14" xfId="0" applyFont="1" applyFill="1" applyBorder="1" applyAlignment="1">
      <alignment horizontal="left" vertical="center"/>
    </xf>
    <xf numFmtId="2" fontId="8" fillId="13" borderId="14" xfId="0" applyNumberFormat="1" applyFont="1" applyFill="1" applyBorder="1" applyAlignment="1">
      <alignment horizontal="left" vertical="center"/>
    </xf>
    <xf numFmtId="166" fontId="8" fillId="14" borderId="54" xfId="0" applyNumberFormat="1" applyFont="1" applyFill="1" applyBorder="1" applyAlignment="1">
      <alignment horizontal="left"/>
    </xf>
    <xf numFmtId="0" fontId="8" fillId="14" borderId="47" xfId="0" applyFont="1" applyFill="1" applyBorder="1"/>
    <xf numFmtId="0" fontId="8" fillId="14" borderId="25" xfId="0" applyFont="1" applyFill="1" applyBorder="1" applyAlignment="1">
      <alignment horizontal="left" vertical="center"/>
    </xf>
    <xf numFmtId="2" fontId="8" fillId="14" borderId="47" xfId="0" applyNumberFormat="1" applyFont="1" applyFill="1" applyBorder="1" applyAlignment="1">
      <alignment horizontal="left" vertical="center"/>
    </xf>
    <xf numFmtId="9" fontId="8" fillId="14" borderId="55" xfId="0" applyNumberFormat="1" applyFont="1" applyFill="1" applyBorder="1" applyAlignment="1">
      <alignment horizontal="left" vertical="center"/>
    </xf>
    <xf numFmtId="43" fontId="8" fillId="14" borderId="11" xfId="2" applyNumberFormat="1" applyFont="1" applyFill="1" applyBorder="1" applyAlignment="1">
      <alignment horizontal="center" vertical="center"/>
    </xf>
    <xf numFmtId="166" fontId="8" fillId="14" borderId="44" xfId="0" applyNumberFormat="1" applyFont="1" applyFill="1" applyBorder="1" applyAlignment="1">
      <alignment horizontal="left"/>
    </xf>
    <xf numFmtId="0" fontId="8" fillId="14" borderId="45" xfId="0" applyFont="1" applyFill="1" applyBorder="1"/>
    <xf numFmtId="2" fontId="8" fillId="14" borderId="45" xfId="0" applyNumberFormat="1" applyFont="1" applyFill="1" applyBorder="1" applyAlignment="1">
      <alignment horizontal="left" vertical="center"/>
    </xf>
    <xf numFmtId="9" fontId="8" fillId="14" borderId="36" xfId="0" applyNumberFormat="1" applyFont="1" applyFill="1" applyBorder="1" applyAlignment="1">
      <alignment horizontal="left" vertical="center"/>
    </xf>
    <xf numFmtId="43" fontId="8" fillId="14" borderId="46" xfId="2" applyNumberFormat="1" applyFont="1" applyFill="1" applyBorder="1" applyAlignment="1">
      <alignment horizontal="center" vertical="center"/>
    </xf>
    <xf numFmtId="166" fontId="8" fillId="14" borderId="13" xfId="0" applyNumberFormat="1" applyFont="1" applyFill="1" applyBorder="1" applyAlignment="1">
      <alignment horizontal="left"/>
    </xf>
    <xf numFmtId="0" fontId="8" fillId="14" borderId="14" xfId="0" applyFont="1" applyFill="1" applyBorder="1" applyAlignment="1">
      <alignment horizontal="left"/>
    </xf>
    <xf numFmtId="0" fontId="8" fillId="14" borderId="14" xfId="0" applyFont="1" applyFill="1" applyBorder="1" applyAlignment="1">
      <alignment horizontal="right" vertical="center"/>
    </xf>
    <xf numFmtId="2" fontId="8" fillId="14" borderId="14" xfId="0" applyNumberFormat="1" applyFont="1" applyFill="1" applyBorder="1" applyAlignment="1">
      <alignment horizontal="left" vertical="center"/>
    </xf>
    <xf numFmtId="9" fontId="8" fillId="14" borderId="53" xfId="0" applyNumberFormat="1" applyFont="1" applyFill="1" applyBorder="1" applyAlignment="1">
      <alignment horizontal="left" vertical="center"/>
    </xf>
    <xf numFmtId="3" fontId="5" fillId="9" borderId="6" xfId="0" applyNumberFormat="1" applyFont="1" applyFill="1" applyBorder="1" applyAlignment="1">
      <alignment horizontal="center" vertical="center"/>
    </xf>
    <xf numFmtId="43" fontId="8" fillId="14" borderId="6" xfId="2" applyNumberFormat="1" applyFont="1" applyFill="1" applyBorder="1" applyAlignment="1">
      <alignment horizontal="center" vertical="center"/>
    </xf>
    <xf numFmtId="0" fontId="8" fillId="10" borderId="55" xfId="0" applyFont="1" applyFill="1" applyBorder="1"/>
    <xf numFmtId="43" fontId="5" fillId="2" borderId="7" xfId="0" applyNumberFormat="1" applyFont="1" applyFill="1" applyBorder="1" applyAlignment="1">
      <alignment horizontal="center" vertical="center"/>
    </xf>
    <xf numFmtId="0" fontId="0" fillId="10" borderId="55" xfId="0" applyFill="1" applyBorder="1"/>
    <xf numFmtId="0" fontId="0" fillId="10" borderId="0" xfId="0" applyFill="1" applyBorder="1"/>
    <xf numFmtId="0" fontId="0" fillId="10" borderId="0" xfId="0" applyFill="1" applyBorder="1" applyAlignment="1">
      <alignment horizontal="left"/>
    </xf>
    <xf numFmtId="0" fontId="0" fillId="10" borderId="0" xfId="0" applyFill="1" applyBorder="1" applyAlignment="1">
      <alignment horizontal="center"/>
    </xf>
    <xf numFmtId="0" fontId="0" fillId="10" borderId="0" xfId="0" applyFill="1" applyBorder="1" applyAlignment="1">
      <alignment horizontal="center" vertical="center"/>
    </xf>
    <xf numFmtId="0" fontId="0" fillId="10" borderId="35" xfId="0" applyFill="1" applyBorder="1"/>
    <xf numFmtId="0" fontId="0" fillId="10" borderId="26" xfId="0" applyFill="1" applyBorder="1"/>
    <xf numFmtId="0" fontId="0" fillId="10" borderId="56" xfId="0" applyFill="1" applyBorder="1"/>
    <xf numFmtId="0" fontId="0" fillId="10" borderId="56" xfId="0" applyFill="1" applyBorder="1" applyAlignment="1">
      <alignment horizontal="left"/>
    </xf>
    <xf numFmtId="0" fontId="0" fillId="10" borderId="56" xfId="0" applyFill="1" applyBorder="1" applyAlignment="1">
      <alignment horizontal="center"/>
    </xf>
    <xf numFmtId="0" fontId="0" fillId="10" borderId="56" xfId="0" applyFill="1" applyBorder="1" applyAlignment="1">
      <alignment horizontal="center" vertical="center"/>
    </xf>
    <xf numFmtId="0" fontId="0" fillId="10" borderId="57" xfId="0" applyFill="1" applyBorder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2" fillId="10" borderId="23" xfId="0" applyFont="1" applyFill="1" applyBorder="1" applyAlignment="1" applyProtection="1">
      <alignment horizontal="center" vertical="top" wrapText="1"/>
      <protection locked="0"/>
    </xf>
    <xf numFmtId="0" fontId="3" fillId="0" borderId="0" xfId="0" applyFont="1" applyProtection="1">
      <protection locked="0"/>
    </xf>
    <xf numFmtId="167" fontId="13" fillId="17" borderId="58" xfId="0" applyNumberFormat="1" applyFont="1" applyFill="1" applyBorder="1" applyAlignment="1" applyProtection="1">
      <alignment horizontal="center" vertical="top" shrinkToFit="1"/>
      <protection locked="0"/>
    </xf>
    <xf numFmtId="0" fontId="14" fillId="17" borderId="59" xfId="0" applyFont="1" applyFill="1" applyBorder="1" applyAlignment="1" applyProtection="1">
      <alignment horizontal="left" vertical="top" wrapText="1"/>
      <protection locked="0"/>
    </xf>
    <xf numFmtId="168" fontId="13" fillId="17" borderId="59" xfId="0" applyNumberFormat="1" applyFont="1" applyFill="1" applyBorder="1" applyAlignment="1" applyProtection="1">
      <alignment horizontal="center" vertical="top" shrinkToFit="1"/>
      <protection locked="0"/>
    </xf>
    <xf numFmtId="1" fontId="13" fillId="17" borderId="59" xfId="0" applyNumberFormat="1" applyFont="1" applyFill="1" applyBorder="1" applyAlignment="1" applyProtection="1">
      <alignment horizontal="center" vertical="top" shrinkToFit="1"/>
      <protection locked="0"/>
    </xf>
    <xf numFmtId="1" fontId="13" fillId="17" borderId="59" xfId="0" applyNumberFormat="1" applyFont="1" applyFill="1" applyBorder="1" applyAlignment="1" applyProtection="1">
      <alignment horizontal="center" vertical="top" shrinkToFit="1"/>
    </xf>
    <xf numFmtId="0" fontId="15" fillId="17" borderId="32" xfId="0" applyFont="1" applyFill="1" applyBorder="1" applyAlignment="1" applyProtection="1">
      <alignment horizontal="left" vertical="top" wrapText="1"/>
      <protection locked="0"/>
    </xf>
    <xf numFmtId="0" fontId="8" fillId="0" borderId="0" xfId="0" applyFont="1" applyProtection="1">
      <protection locked="0"/>
    </xf>
    <xf numFmtId="168" fontId="13" fillId="0" borderId="42" xfId="0" applyNumberFormat="1" applyFont="1" applyBorder="1" applyAlignment="1" applyProtection="1">
      <alignment horizontal="center" vertical="top" shrinkToFit="1"/>
      <protection locked="0"/>
    </xf>
    <xf numFmtId="168" fontId="13" fillId="0" borderId="57" xfId="0" applyNumberFormat="1" applyFont="1" applyBorder="1" applyAlignment="1" applyProtection="1">
      <alignment horizontal="center" vertical="top" shrinkToFit="1"/>
      <protection locked="0"/>
    </xf>
    <xf numFmtId="1" fontId="13" fillId="5" borderId="60" xfId="4" applyNumberFormat="1" applyFont="1" applyFill="1" applyBorder="1" applyAlignment="1" applyProtection="1">
      <alignment horizontal="center" vertical="top" shrinkToFit="1"/>
      <protection locked="0"/>
    </xf>
    <xf numFmtId="168" fontId="13" fillId="0" borderId="51" xfId="0" applyNumberFormat="1" applyFont="1" applyFill="1" applyBorder="1" applyAlignment="1" applyProtection="1">
      <alignment horizontal="center" vertical="top" shrinkToFit="1"/>
    </xf>
    <xf numFmtId="168" fontId="13" fillId="10" borderId="4" xfId="0" applyNumberFormat="1" applyFont="1" applyFill="1" applyBorder="1" applyAlignment="1" applyProtection="1">
      <alignment horizontal="center" vertical="top" shrinkToFit="1"/>
      <protection locked="0"/>
    </xf>
    <xf numFmtId="168" fontId="13" fillId="10" borderId="61" xfId="0" applyNumberFormat="1" applyFont="1" applyFill="1" applyBorder="1" applyAlignment="1" applyProtection="1">
      <alignment horizontal="center" vertical="top" shrinkToFit="1"/>
      <protection locked="0"/>
    </xf>
    <xf numFmtId="1" fontId="13" fillId="5" borderId="12" xfId="4" applyNumberFormat="1" applyFont="1" applyFill="1" applyBorder="1" applyAlignment="1" applyProtection="1">
      <alignment horizontal="center" vertical="top" shrinkToFit="1"/>
      <protection locked="0"/>
    </xf>
    <xf numFmtId="167" fontId="13" fillId="0" borderId="62" xfId="0" applyNumberFormat="1" applyFont="1" applyBorder="1" applyAlignment="1" applyProtection="1">
      <alignment horizontal="center" vertical="top" shrinkToFit="1"/>
      <protection locked="0"/>
    </xf>
    <xf numFmtId="2" fontId="13" fillId="0" borderId="63" xfId="0" applyNumberFormat="1" applyFont="1" applyBorder="1" applyAlignment="1" applyProtection="1">
      <alignment horizontal="center" vertical="top" shrinkToFit="1"/>
      <protection locked="0"/>
    </xf>
    <xf numFmtId="167" fontId="13" fillId="0" borderId="63" xfId="0" applyNumberFormat="1" applyFont="1" applyBorder="1" applyAlignment="1" applyProtection="1">
      <alignment horizontal="center" vertical="top" shrinkToFit="1"/>
      <protection locked="0"/>
    </xf>
    <xf numFmtId="168" fontId="13" fillId="18" borderId="61" xfId="0" applyNumberFormat="1" applyFont="1" applyFill="1" applyBorder="1" applyAlignment="1" applyProtection="1">
      <alignment horizontal="center" vertical="top" shrinkToFit="1"/>
      <protection locked="0"/>
    </xf>
    <xf numFmtId="168" fontId="13" fillId="0" borderId="4" xfId="0" applyNumberFormat="1" applyFont="1" applyBorder="1" applyAlignment="1" applyProtection="1">
      <alignment horizontal="center" vertical="top" shrinkToFit="1"/>
      <protection locked="0"/>
    </xf>
    <xf numFmtId="168" fontId="13" fillId="0" borderId="37" xfId="0" applyNumberFormat="1" applyFont="1" applyBorder="1" applyAlignment="1" applyProtection="1">
      <alignment horizontal="center" vertical="top" shrinkToFit="1"/>
      <protection locked="0"/>
    </xf>
    <xf numFmtId="168" fontId="13" fillId="10" borderId="37" xfId="0" applyNumberFormat="1" applyFont="1" applyFill="1" applyBorder="1" applyAlignment="1" applyProtection="1">
      <alignment horizontal="center" vertical="top" shrinkToFit="1"/>
      <protection locked="0"/>
    </xf>
    <xf numFmtId="168" fontId="13" fillId="0" borderId="34" xfId="0" applyNumberFormat="1" applyFont="1" applyBorder="1" applyAlignment="1" applyProtection="1">
      <alignment horizontal="center" vertical="top" shrinkToFit="1"/>
      <protection locked="0"/>
    </xf>
    <xf numFmtId="167" fontId="13" fillId="19" borderId="58" xfId="0" applyNumberFormat="1" applyFont="1" applyFill="1" applyBorder="1" applyAlignment="1" applyProtection="1">
      <alignment horizontal="center" vertical="top" shrinkToFit="1"/>
      <protection locked="0"/>
    </xf>
    <xf numFmtId="0" fontId="14" fillId="19" borderId="59" xfId="0" applyFont="1" applyFill="1" applyBorder="1" applyAlignment="1" applyProtection="1">
      <alignment horizontal="left" vertical="top" wrapText="1"/>
      <protection locked="0"/>
    </xf>
    <xf numFmtId="168" fontId="13" fillId="19" borderId="59" xfId="0" applyNumberFormat="1" applyFont="1" applyFill="1" applyBorder="1" applyAlignment="1" applyProtection="1">
      <alignment horizontal="center" vertical="top" shrinkToFit="1"/>
      <protection locked="0"/>
    </xf>
    <xf numFmtId="0" fontId="8" fillId="19" borderId="32" xfId="0" applyFont="1" applyFill="1" applyBorder="1" applyAlignment="1" applyProtection="1">
      <alignment horizontal="left"/>
      <protection locked="0"/>
    </xf>
    <xf numFmtId="167" fontId="13" fillId="0" borderId="27" xfId="0" applyNumberFormat="1" applyFont="1" applyBorder="1" applyAlignment="1" applyProtection="1">
      <alignment horizontal="center" vertical="top" shrinkToFit="1"/>
      <protection locked="0"/>
    </xf>
    <xf numFmtId="0" fontId="12" fillId="0" borderId="56" xfId="0" applyFont="1" applyBorder="1" applyAlignment="1" applyProtection="1">
      <alignment horizontal="left" vertical="top" wrapText="1"/>
      <protection locked="0"/>
    </xf>
    <xf numFmtId="168" fontId="13" fillId="0" borderId="27" xfId="0" applyNumberFormat="1" applyFont="1" applyBorder="1" applyAlignment="1" applyProtection="1">
      <alignment horizontal="center" vertical="top" shrinkToFit="1"/>
      <protection locked="0"/>
    </xf>
    <xf numFmtId="168" fontId="13" fillId="0" borderId="56" xfId="0" applyNumberFormat="1" applyFont="1" applyBorder="1" applyAlignment="1" applyProtection="1">
      <alignment horizontal="center" vertical="top" shrinkToFit="1"/>
      <protection locked="0"/>
    </xf>
    <xf numFmtId="168" fontId="13" fillId="10" borderId="27" xfId="0" applyNumberFormat="1" applyFont="1" applyFill="1" applyBorder="1" applyAlignment="1" applyProtection="1">
      <alignment horizontal="center" vertical="top" shrinkToFit="1"/>
      <protection locked="0"/>
    </xf>
    <xf numFmtId="167" fontId="13" fillId="10" borderId="4" xfId="0" applyNumberFormat="1" applyFont="1" applyFill="1" applyBorder="1" applyAlignment="1" applyProtection="1">
      <alignment horizontal="center" vertical="top" shrinkToFit="1"/>
      <protection locked="0"/>
    </xf>
    <xf numFmtId="0" fontId="12" fillId="10" borderId="3" xfId="0" applyFont="1" applyFill="1" applyBorder="1" applyAlignment="1" applyProtection="1">
      <alignment horizontal="left" vertical="top" wrapText="1"/>
      <protection locked="0"/>
    </xf>
    <xf numFmtId="168" fontId="13" fillId="10" borderId="3" xfId="0" applyNumberFormat="1" applyFont="1" applyFill="1" applyBorder="1" applyAlignment="1" applyProtection="1">
      <alignment horizontal="center" vertical="top" shrinkToFit="1"/>
      <protection locked="0"/>
    </xf>
    <xf numFmtId="168" fontId="13" fillId="18" borderId="4" xfId="0" applyNumberFormat="1" applyFont="1" applyFill="1" applyBorder="1" applyAlignment="1" applyProtection="1">
      <alignment horizontal="center" vertical="top" shrinkToFit="1"/>
      <protection locked="0"/>
    </xf>
    <xf numFmtId="167" fontId="13" fillId="0" borderId="4" xfId="0" applyNumberFormat="1" applyFont="1" applyBorder="1" applyAlignment="1" applyProtection="1">
      <alignment horizontal="center" vertical="top" shrinkToFit="1"/>
      <protection locked="0"/>
    </xf>
    <xf numFmtId="0" fontId="12" fillId="0" borderId="3" xfId="0" applyFont="1" applyBorder="1" applyAlignment="1" applyProtection="1">
      <alignment horizontal="left" vertical="top" wrapText="1"/>
      <protection locked="0"/>
    </xf>
    <xf numFmtId="168" fontId="13" fillId="0" borderId="3" xfId="0" applyNumberFormat="1" applyFont="1" applyBorder="1" applyAlignment="1" applyProtection="1">
      <alignment horizontal="center" vertical="top" shrinkToFit="1"/>
      <protection locked="0"/>
    </xf>
    <xf numFmtId="167" fontId="13" fillId="10" borderId="37" xfId="0" applyNumberFormat="1" applyFont="1" applyFill="1" applyBorder="1" applyAlignment="1" applyProtection="1">
      <alignment horizontal="center" vertical="top" shrinkToFit="1"/>
      <protection locked="0"/>
    </xf>
    <xf numFmtId="0" fontId="12" fillId="10" borderId="33" xfId="0" applyFont="1" applyFill="1" applyBorder="1" applyAlignment="1" applyProtection="1">
      <alignment horizontal="left" vertical="top" wrapText="1"/>
      <protection locked="0"/>
    </xf>
    <xf numFmtId="168" fontId="13" fillId="10" borderId="33" xfId="0" applyNumberFormat="1" applyFont="1" applyFill="1" applyBorder="1" applyAlignment="1" applyProtection="1">
      <alignment horizontal="center" vertical="top" shrinkToFit="1"/>
      <protection locked="0"/>
    </xf>
    <xf numFmtId="168" fontId="13" fillId="0" borderId="6" xfId="0" applyNumberFormat="1" applyFont="1" applyBorder="1" applyAlignment="1" applyProtection="1">
      <alignment horizontal="center" vertical="top" shrinkToFit="1"/>
      <protection locked="0"/>
    </xf>
    <xf numFmtId="167" fontId="13" fillId="20" borderId="58" xfId="0" applyNumberFormat="1" applyFont="1" applyFill="1" applyBorder="1" applyAlignment="1" applyProtection="1">
      <alignment horizontal="center" vertical="top" shrinkToFit="1"/>
      <protection locked="0"/>
    </xf>
    <xf numFmtId="0" fontId="14" fillId="20" borderId="59" xfId="0" applyFont="1" applyFill="1" applyBorder="1" applyAlignment="1" applyProtection="1">
      <alignment horizontal="left" vertical="top" wrapText="1"/>
      <protection locked="0"/>
    </xf>
    <xf numFmtId="168" fontId="13" fillId="20" borderId="59" xfId="0" applyNumberFormat="1" applyFont="1" applyFill="1" applyBorder="1" applyAlignment="1" applyProtection="1">
      <alignment horizontal="center" vertical="top" shrinkToFit="1"/>
      <protection locked="0"/>
    </xf>
    <xf numFmtId="0" fontId="8" fillId="20" borderId="32" xfId="0" applyFont="1" applyFill="1" applyBorder="1" applyAlignment="1" applyProtection="1">
      <alignment horizontal="left"/>
      <protection locked="0"/>
    </xf>
    <xf numFmtId="167" fontId="13" fillId="0" borderId="26" xfId="0" applyNumberFormat="1" applyFont="1" applyBorder="1" applyAlignment="1" applyProtection="1">
      <alignment horizontal="center" vertical="top" shrinkToFit="1"/>
      <protection locked="0"/>
    </xf>
    <xf numFmtId="0" fontId="12" fillId="0" borderId="27" xfId="0" applyFont="1" applyBorder="1" applyAlignment="1" applyProtection="1">
      <alignment horizontal="left" vertical="top" wrapText="1"/>
      <protection locked="0"/>
    </xf>
    <xf numFmtId="167" fontId="13" fillId="10" borderId="2" xfId="0" applyNumberFormat="1" applyFont="1" applyFill="1" applyBorder="1" applyAlignment="1" applyProtection="1">
      <alignment horizontal="center" vertical="top" shrinkToFit="1"/>
      <protection locked="0"/>
    </xf>
    <xf numFmtId="0" fontId="12" fillId="10" borderId="4" xfId="0" applyFont="1" applyFill="1" applyBorder="1" applyAlignment="1" applyProtection="1">
      <alignment horizontal="left" vertical="top" wrapText="1"/>
      <protection locked="0"/>
    </xf>
    <xf numFmtId="167" fontId="13" fillId="10" borderId="36" xfId="0" applyNumberFormat="1" applyFont="1" applyFill="1" applyBorder="1" applyAlignment="1" applyProtection="1">
      <alignment horizontal="center" vertical="top" shrinkToFit="1"/>
      <protection locked="0"/>
    </xf>
    <xf numFmtId="0" fontId="12" fillId="10" borderId="37" xfId="0" applyFont="1" applyFill="1" applyBorder="1" applyAlignment="1" applyProtection="1">
      <alignment horizontal="left" vertical="top" wrapText="1"/>
      <protection locked="0"/>
    </xf>
    <xf numFmtId="167" fontId="13" fillId="21" borderId="58" xfId="0" applyNumberFormat="1" applyFont="1" applyFill="1" applyBorder="1" applyAlignment="1" applyProtection="1">
      <alignment horizontal="center" vertical="top" shrinkToFit="1"/>
      <protection locked="0"/>
    </xf>
    <xf numFmtId="0" fontId="14" fillId="21" borderId="59" xfId="0" applyFont="1" applyFill="1" applyBorder="1" applyAlignment="1" applyProtection="1">
      <alignment horizontal="left" vertical="top" wrapText="1"/>
      <protection locked="0"/>
    </xf>
    <xf numFmtId="168" fontId="13" fillId="21" borderId="59" xfId="0" applyNumberFormat="1" applyFont="1" applyFill="1" applyBorder="1" applyAlignment="1" applyProtection="1">
      <alignment horizontal="center" vertical="top" shrinkToFit="1"/>
      <protection locked="0"/>
    </xf>
    <xf numFmtId="0" fontId="8" fillId="21" borderId="32" xfId="0" applyFont="1" applyFill="1" applyBorder="1" applyAlignment="1" applyProtection="1">
      <alignment horizontal="left"/>
      <protection locked="0"/>
    </xf>
    <xf numFmtId="167" fontId="13" fillId="10" borderId="6" xfId="0" applyNumberFormat="1" applyFont="1" applyFill="1" applyBorder="1" applyAlignment="1" applyProtection="1">
      <alignment horizontal="center" vertical="top" shrinkToFit="1"/>
      <protection locked="0"/>
    </xf>
    <xf numFmtId="0" fontId="12" fillId="10" borderId="6" xfId="0" applyFont="1" applyFill="1" applyBorder="1" applyAlignment="1" applyProtection="1">
      <alignment horizontal="left" vertical="top" wrapText="1"/>
      <protection locked="0"/>
    </xf>
    <xf numFmtId="168" fontId="13" fillId="10" borderId="6" xfId="0" applyNumberFormat="1" applyFont="1" applyFill="1" applyBorder="1" applyAlignment="1" applyProtection="1">
      <alignment horizontal="center" vertical="top" shrinkToFit="1"/>
      <protection locked="0"/>
    </xf>
    <xf numFmtId="168" fontId="13" fillId="10" borderId="64" xfId="0" applyNumberFormat="1" applyFont="1" applyFill="1" applyBorder="1" applyAlignment="1" applyProtection="1">
      <alignment horizontal="center" vertical="top" shrinkToFit="1"/>
      <protection locked="0"/>
    </xf>
    <xf numFmtId="168" fontId="13" fillId="18" borderId="6" xfId="0" applyNumberFormat="1" applyFont="1" applyFill="1" applyBorder="1" applyAlignment="1" applyProtection="1">
      <alignment horizontal="center" vertical="top" shrinkToFit="1"/>
      <protection locked="0"/>
    </xf>
    <xf numFmtId="167" fontId="13" fillId="10" borderId="0" xfId="0" applyNumberFormat="1" applyFont="1" applyFill="1" applyBorder="1" applyAlignment="1" applyProtection="1">
      <alignment horizontal="center" vertical="top" shrinkToFit="1"/>
      <protection locked="0"/>
    </xf>
    <xf numFmtId="0" fontId="12" fillId="10" borderId="0" xfId="0" applyFont="1" applyFill="1" applyBorder="1" applyAlignment="1" applyProtection="1">
      <alignment horizontal="center" vertical="top" wrapText="1"/>
      <protection locked="0"/>
    </xf>
    <xf numFmtId="168" fontId="13" fillId="10" borderId="0" xfId="0" applyNumberFormat="1" applyFont="1" applyFill="1" applyBorder="1" applyAlignment="1" applyProtection="1">
      <alignment horizontal="center" vertical="top" shrinkToFit="1"/>
      <protection locked="0"/>
    </xf>
    <xf numFmtId="0" fontId="8" fillId="10" borderId="0" xfId="0" applyFont="1" applyFill="1" applyBorder="1" applyProtection="1">
      <protection locked="0"/>
    </xf>
    <xf numFmtId="168" fontId="13" fillId="10" borderId="0" xfId="4" applyNumberFormat="1" applyFont="1" applyFill="1" applyBorder="1" applyAlignment="1" applyProtection="1">
      <alignment horizontal="center" vertical="top" shrinkToFit="1"/>
      <protection locked="0"/>
    </xf>
    <xf numFmtId="1" fontId="13" fillId="10" borderId="0" xfId="4" applyNumberFormat="1" applyFont="1" applyFill="1" applyBorder="1" applyAlignment="1" applyProtection="1">
      <alignment horizontal="center" vertical="top" shrinkToFit="1"/>
      <protection locked="0"/>
    </xf>
    <xf numFmtId="0" fontId="8" fillId="10" borderId="0" xfId="0" applyFont="1" applyFill="1" applyAlignment="1" applyProtection="1">
      <alignment horizontal="left"/>
      <protection locked="0"/>
    </xf>
    <xf numFmtId="1" fontId="8" fillId="0" borderId="0" xfId="0" applyNumberFormat="1" applyFont="1" applyProtection="1">
      <protection locked="0"/>
    </xf>
    <xf numFmtId="0" fontId="8" fillId="0" borderId="0" xfId="0" applyFont="1" applyFill="1" applyProtection="1"/>
    <xf numFmtId="0" fontId="12" fillId="10" borderId="58" xfId="0" applyFont="1" applyFill="1" applyBorder="1" applyAlignment="1" applyProtection="1">
      <alignment horizontal="center" vertical="top" wrapText="1"/>
      <protection locked="0"/>
    </xf>
    <xf numFmtId="0" fontId="12" fillId="0" borderId="33" xfId="0" applyFont="1" applyBorder="1" applyAlignment="1" applyProtection="1">
      <alignment horizontal="left" vertical="top" wrapText="1"/>
      <protection locked="0"/>
    </xf>
    <xf numFmtId="167" fontId="13" fillId="0" borderId="42" xfId="0" applyNumberFormat="1" applyFont="1" applyBorder="1" applyAlignment="1" applyProtection="1">
      <alignment horizontal="center" vertical="top" shrinkToFit="1"/>
      <protection locked="0"/>
    </xf>
    <xf numFmtId="167" fontId="13" fillId="0" borderId="6" xfId="0" applyNumberFormat="1" applyFont="1" applyBorder="1" applyAlignment="1" applyProtection="1">
      <alignment horizontal="center" vertical="top" shrinkToFit="1"/>
      <protection locked="0"/>
    </xf>
    <xf numFmtId="168" fontId="13" fillId="0" borderId="5" xfId="0" applyNumberFormat="1" applyFont="1" applyFill="1" applyBorder="1" applyAlignment="1" applyProtection="1">
      <alignment horizontal="center" vertical="top" shrinkToFit="1"/>
    </xf>
    <xf numFmtId="1" fontId="13" fillId="5" borderId="65" xfId="4" applyNumberFormat="1" applyFont="1" applyFill="1" applyBorder="1" applyAlignment="1" applyProtection="1">
      <alignment horizontal="center" vertical="top" shrinkToFit="1"/>
      <protection locked="0"/>
    </xf>
    <xf numFmtId="0" fontId="8" fillId="0" borderId="43" xfId="0" applyFont="1" applyBorder="1" applyAlignment="1" applyProtection="1">
      <alignment horizontal="left"/>
      <protection locked="0"/>
    </xf>
    <xf numFmtId="0" fontId="8" fillId="10" borderId="9" xfId="0" applyFont="1" applyFill="1" applyBorder="1" applyAlignment="1" applyProtection="1">
      <alignment horizontal="left"/>
      <protection locked="0"/>
    </xf>
    <xf numFmtId="0" fontId="8" fillId="0" borderId="9" xfId="0" applyFont="1" applyBorder="1" applyAlignment="1" applyProtection="1">
      <alignment horizontal="left"/>
      <protection locked="0"/>
    </xf>
    <xf numFmtId="0" fontId="8" fillId="0" borderId="11" xfId="0" applyFont="1" applyBorder="1" applyAlignment="1" applyProtection="1">
      <alignment horizontal="left"/>
      <protection locked="0"/>
    </xf>
    <xf numFmtId="0" fontId="8" fillId="0" borderId="28" xfId="0" applyFont="1" applyBorder="1" applyAlignment="1" applyProtection="1">
      <alignment horizontal="left"/>
      <protection locked="0"/>
    </xf>
    <xf numFmtId="0" fontId="8" fillId="0" borderId="46" xfId="0" applyFont="1" applyBorder="1" applyAlignment="1" applyProtection="1">
      <alignment horizontal="left"/>
      <protection locked="0"/>
    </xf>
    <xf numFmtId="168" fontId="13" fillId="0" borderId="23" xfId="0" applyNumberFormat="1" applyFont="1" applyFill="1" applyBorder="1" applyAlignment="1" applyProtection="1">
      <alignment horizontal="center" vertical="top" shrinkToFit="1"/>
    </xf>
    <xf numFmtId="0" fontId="8" fillId="10" borderId="6" xfId="0" applyFont="1" applyFill="1" applyBorder="1" applyAlignment="1" applyProtection="1">
      <alignment horizontal="left"/>
      <protection locked="0"/>
    </xf>
    <xf numFmtId="1" fontId="13" fillId="19" borderId="58" xfId="0" applyNumberFormat="1" applyFont="1" applyFill="1" applyBorder="1" applyAlignment="1" applyProtection="1">
      <alignment horizontal="center" vertical="top" shrinkToFit="1"/>
    </xf>
    <xf numFmtId="1" fontId="13" fillId="20" borderId="58" xfId="0" applyNumberFormat="1" applyFont="1" applyFill="1" applyBorder="1" applyAlignment="1" applyProtection="1">
      <alignment horizontal="center" vertical="top" shrinkToFit="1"/>
    </xf>
    <xf numFmtId="1" fontId="13" fillId="21" borderId="58" xfId="4" applyNumberFormat="1" applyFont="1" applyFill="1" applyBorder="1" applyAlignment="1" applyProtection="1">
      <alignment horizontal="center" vertical="top" shrinkToFit="1"/>
    </xf>
    <xf numFmtId="168" fontId="18" fillId="2" borderId="23" xfId="0" applyNumberFormat="1" applyFont="1" applyFill="1" applyBorder="1" applyProtection="1"/>
    <xf numFmtId="0" fontId="8" fillId="10" borderId="0" xfId="0" applyFont="1" applyFill="1"/>
    <xf numFmtId="4" fontId="3" fillId="10" borderId="0" xfId="0" applyNumberFormat="1" applyFont="1" applyFill="1" applyBorder="1" applyAlignment="1">
      <alignment horizontal="right" vertical="center"/>
    </xf>
    <xf numFmtId="0" fontId="8" fillId="10" borderId="0" xfId="0" applyFont="1" applyFill="1" applyBorder="1" applyAlignment="1">
      <alignment horizontal="center" vertical="center"/>
    </xf>
    <xf numFmtId="0" fontId="12" fillId="10" borderId="7" xfId="0" applyFont="1" applyFill="1" applyBorder="1" applyAlignment="1" applyProtection="1">
      <alignment horizontal="left" vertical="top" wrapText="1"/>
    </xf>
    <xf numFmtId="0" fontId="12" fillId="10" borderId="7" xfId="0" applyFont="1" applyFill="1" applyBorder="1" applyAlignment="1" applyProtection="1">
      <alignment horizontal="left" vertical="top" wrapText="1"/>
      <protection locked="0"/>
    </xf>
    <xf numFmtId="0" fontId="12" fillId="10" borderId="21" xfId="0" applyFont="1" applyFill="1" applyBorder="1" applyAlignment="1" applyProtection="1">
      <alignment horizontal="left" vertical="top" wrapText="1"/>
      <protection locked="0"/>
    </xf>
    <xf numFmtId="0" fontId="17" fillId="15" borderId="7" xfId="0" applyFont="1" applyFill="1" applyBorder="1" applyAlignment="1" applyProtection="1">
      <alignment horizontal="left" vertical="top" wrapText="1"/>
      <protection locked="0"/>
    </xf>
    <xf numFmtId="0" fontId="17" fillId="16" borderId="7" xfId="0" applyFont="1" applyFill="1" applyBorder="1" applyAlignment="1" applyProtection="1">
      <alignment horizontal="left" vertical="top" wrapText="1"/>
      <protection locked="0"/>
    </xf>
    <xf numFmtId="1" fontId="17" fillId="5" borderId="7" xfId="0" applyNumberFormat="1" applyFont="1" applyFill="1" applyBorder="1" applyAlignment="1" applyProtection="1">
      <alignment horizontal="left" vertical="top" wrapText="1"/>
      <protection locked="0"/>
    </xf>
    <xf numFmtId="0" fontId="16" fillId="10" borderId="22" xfId="0" applyFont="1" applyFill="1" applyBorder="1" applyAlignment="1" applyProtection="1">
      <alignment horizontal="left" vertical="top" wrapText="1"/>
      <protection locked="0"/>
    </xf>
    <xf numFmtId="0" fontId="8" fillId="10" borderId="17" xfId="0" applyFont="1" applyFill="1" applyBorder="1"/>
    <xf numFmtId="0" fontId="8" fillId="10" borderId="18" xfId="0" applyFont="1" applyFill="1" applyBorder="1" applyAlignment="1">
      <alignment horizontal="left"/>
    </xf>
    <xf numFmtId="0" fontId="8" fillId="10" borderId="18" xfId="0" applyFont="1" applyFill="1" applyBorder="1" applyAlignment="1">
      <alignment horizontal="center"/>
    </xf>
    <xf numFmtId="0" fontId="8" fillId="10" borderId="18" xfId="0" applyFont="1" applyFill="1" applyBorder="1" applyAlignment="1">
      <alignment horizontal="center" vertical="center"/>
    </xf>
    <xf numFmtId="0" fontId="0" fillId="10" borderId="18" xfId="0" applyFill="1" applyBorder="1"/>
    <xf numFmtId="0" fontId="0" fillId="10" borderId="19" xfId="0" applyFill="1" applyBorder="1"/>
    <xf numFmtId="0" fontId="8" fillId="10" borderId="10" xfId="0" applyFont="1" applyFill="1" applyBorder="1"/>
    <xf numFmtId="0" fontId="0" fillId="10" borderId="11" xfId="0" applyFill="1" applyBorder="1"/>
    <xf numFmtId="0" fontId="0" fillId="10" borderId="10" xfId="0" applyFill="1" applyBorder="1"/>
    <xf numFmtId="0" fontId="8" fillId="10" borderId="20" xfId="0" applyFont="1" applyFill="1" applyBorder="1"/>
    <xf numFmtId="0" fontId="8" fillId="10" borderId="21" xfId="0" applyFont="1" applyFill="1" applyBorder="1" applyAlignment="1">
      <alignment horizontal="left"/>
    </xf>
    <xf numFmtId="0" fontId="8" fillId="10" borderId="21" xfId="0" applyFont="1" applyFill="1" applyBorder="1" applyAlignment="1">
      <alignment horizontal="center"/>
    </xf>
    <xf numFmtId="0" fontId="8" fillId="10" borderId="21" xfId="0" applyFont="1" applyFill="1" applyBorder="1" applyAlignment="1">
      <alignment horizontal="center" vertical="center"/>
    </xf>
    <xf numFmtId="0" fontId="0" fillId="10" borderId="21" xfId="0" applyFill="1" applyBorder="1"/>
    <xf numFmtId="0" fontId="0" fillId="10" borderId="22" xfId="0" applyFill="1" applyBorder="1"/>
    <xf numFmtId="166" fontId="8" fillId="11" borderId="13" xfId="0" applyNumberFormat="1" applyFont="1" applyFill="1" applyBorder="1" applyAlignment="1">
      <alignment horizontal="left"/>
    </xf>
    <xf numFmtId="0" fontId="8" fillId="11" borderId="14" xfId="0" applyFont="1" applyFill="1" applyBorder="1"/>
    <xf numFmtId="0" fontId="8" fillId="11" borderId="14" xfId="0" applyFont="1" applyFill="1" applyBorder="1" applyAlignment="1">
      <alignment horizontal="left" vertical="center"/>
    </xf>
    <xf numFmtId="2" fontId="8" fillId="11" borderId="14" xfId="0" applyNumberFormat="1" applyFont="1" applyFill="1" applyBorder="1" applyAlignment="1">
      <alignment horizontal="left" vertical="center"/>
    </xf>
    <xf numFmtId="9" fontId="8" fillId="11" borderId="15" xfId="0" applyNumberFormat="1" applyFont="1" applyFill="1" applyBorder="1" applyAlignment="1">
      <alignment horizontal="left" vertical="center"/>
    </xf>
    <xf numFmtId="43" fontId="8" fillId="12" borderId="11" xfId="2" applyNumberFormat="1" applyFont="1" applyFill="1" applyBorder="1" applyAlignment="1">
      <alignment horizontal="center" vertical="center"/>
    </xf>
    <xf numFmtId="43" fontId="8" fillId="12" borderId="46" xfId="2" applyNumberFormat="1" applyFont="1" applyFill="1" applyBorder="1" applyAlignment="1">
      <alignment horizontal="center" vertical="center"/>
    </xf>
    <xf numFmtId="43" fontId="8" fillId="13" borderId="43" xfId="2" applyNumberFormat="1" applyFont="1" applyFill="1" applyBorder="1" applyAlignment="1">
      <alignment horizontal="center" vertical="center"/>
    </xf>
    <xf numFmtId="43" fontId="8" fillId="13" borderId="9" xfId="2" applyNumberFormat="1" applyFont="1" applyFill="1" applyBorder="1" applyAlignment="1">
      <alignment horizontal="center" vertical="center"/>
    </xf>
    <xf numFmtId="43" fontId="8" fillId="13" borderId="16" xfId="2" applyNumberFormat="1" applyFont="1" applyFill="1" applyBorder="1" applyAlignment="1">
      <alignment horizontal="center" vertical="center"/>
    </xf>
    <xf numFmtId="9" fontId="8" fillId="12" borderId="36" xfId="0" applyNumberFormat="1" applyFont="1" applyFill="1" applyBorder="1" applyAlignment="1">
      <alignment horizontal="left" vertical="center"/>
    </xf>
    <xf numFmtId="9" fontId="8" fillId="13" borderId="41" xfId="0" applyNumberFormat="1" applyFont="1" applyFill="1" applyBorder="1" applyAlignment="1">
      <alignment horizontal="left" vertical="center"/>
    </xf>
    <xf numFmtId="9" fontId="8" fillId="13" borderId="2" xfId="0" applyNumberFormat="1" applyFont="1" applyFill="1" applyBorder="1" applyAlignment="1">
      <alignment horizontal="left" vertical="center"/>
    </xf>
    <xf numFmtId="9" fontId="8" fillId="13" borderId="15" xfId="0" applyNumberFormat="1" applyFont="1" applyFill="1" applyBorder="1" applyAlignment="1">
      <alignment horizontal="left" vertical="center"/>
    </xf>
    <xf numFmtId="2" fontId="10" fillId="10" borderId="49" xfId="3" applyNumberFormat="1" applyFont="1" applyFill="1" applyBorder="1" applyAlignment="1">
      <alignment horizontal="center" vertical="center"/>
    </xf>
    <xf numFmtId="3" fontId="5" fillId="9" borderId="7" xfId="0" applyNumberFormat="1" applyFont="1" applyFill="1" applyBorder="1" applyAlignment="1">
      <alignment horizontal="center" vertical="center"/>
    </xf>
    <xf numFmtId="166" fontId="8" fillId="12" borderId="54" xfId="0" applyNumberFormat="1" applyFont="1" applyFill="1" applyBorder="1" applyAlignment="1">
      <alignment horizontal="left"/>
    </xf>
    <xf numFmtId="0" fontId="8" fillId="12" borderId="47" xfId="0" applyFont="1" applyFill="1" applyBorder="1"/>
    <xf numFmtId="2" fontId="8" fillId="12" borderId="47" xfId="0" applyNumberFormat="1" applyFont="1" applyFill="1" applyBorder="1" applyAlignment="1">
      <alignment horizontal="left" vertical="center"/>
    </xf>
    <xf numFmtId="9" fontId="8" fillId="12" borderId="55" xfId="0" applyNumberFormat="1" applyFont="1" applyFill="1" applyBorder="1" applyAlignment="1">
      <alignment horizontal="left" vertical="center"/>
    </xf>
    <xf numFmtId="0" fontId="8" fillId="0" borderId="1" xfId="0" applyFont="1" applyFill="1" applyBorder="1"/>
    <xf numFmtId="0" fontId="8" fillId="0" borderId="1" xfId="0" applyFont="1" applyFill="1" applyBorder="1" applyAlignment="1">
      <alignment horizontal="left" vertical="center"/>
    </xf>
    <xf numFmtId="2" fontId="8" fillId="0" borderId="1" xfId="0" applyNumberFormat="1" applyFont="1" applyFill="1" applyBorder="1" applyAlignment="1">
      <alignment horizontal="left" vertical="center"/>
    </xf>
    <xf numFmtId="166" fontId="8" fillId="0" borderId="48" xfId="0" applyNumberFormat="1" applyFont="1" applyFill="1" applyBorder="1" applyAlignment="1">
      <alignment horizontal="left"/>
    </xf>
    <xf numFmtId="0" fontId="8" fillId="0" borderId="49" xfId="0" applyFont="1" applyFill="1" applyBorder="1"/>
    <xf numFmtId="0" fontId="8" fillId="0" borderId="40" xfId="0" applyFont="1" applyFill="1" applyBorder="1" applyAlignment="1">
      <alignment horizontal="left" vertical="center"/>
    </xf>
    <xf numFmtId="2" fontId="8" fillId="0" borderId="49" xfId="0" applyNumberFormat="1" applyFont="1" applyFill="1" applyBorder="1" applyAlignment="1">
      <alignment horizontal="left" vertical="center"/>
    </xf>
    <xf numFmtId="9" fontId="8" fillId="0" borderId="50" xfId="0" applyNumberFormat="1" applyFont="1" applyFill="1" applyBorder="1" applyAlignment="1">
      <alignment horizontal="left" vertical="center"/>
    </xf>
    <xf numFmtId="166" fontId="8" fillId="0" borderId="8" xfId="0" applyNumberFormat="1" applyFont="1" applyFill="1" applyBorder="1" applyAlignment="1">
      <alignment horizontal="left"/>
    </xf>
    <xf numFmtId="9" fontId="8" fillId="0" borderId="52" xfId="0" applyNumberFormat="1" applyFont="1" applyFill="1" applyBorder="1" applyAlignment="1">
      <alignment horizontal="left" vertical="center"/>
    </xf>
    <xf numFmtId="166" fontId="8" fillId="0" borderId="13" xfId="0" applyNumberFormat="1" applyFont="1" applyFill="1" applyBorder="1" applyAlignment="1">
      <alignment horizontal="left"/>
    </xf>
    <xf numFmtId="0" fontId="8" fillId="0" borderId="14" xfId="0" applyFont="1" applyFill="1" applyBorder="1"/>
    <xf numFmtId="0" fontId="8" fillId="0" borderId="14" xfId="0" applyFont="1" applyFill="1" applyBorder="1" applyAlignment="1">
      <alignment horizontal="left" vertical="center"/>
    </xf>
    <xf numFmtId="2" fontId="8" fillId="0" borderId="14" xfId="0" applyNumberFormat="1" applyFont="1" applyFill="1" applyBorder="1" applyAlignment="1">
      <alignment horizontal="left" vertical="center"/>
    </xf>
    <xf numFmtId="9" fontId="8" fillId="0" borderId="53" xfId="0" applyNumberFormat="1" applyFont="1" applyFill="1" applyBorder="1" applyAlignment="1">
      <alignment horizontal="left" vertical="center"/>
    </xf>
    <xf numFmtId="43" fontId="8" fillId="0" borderId="42" xfId="2" applyNumberFormat="1" applyFont="1" applyFill="1" applyBorder="1" applyAlignment="1">
      <alignment horizontal="center" vertical="center"/>
    </xf>
    <xf numFmtId="43" fontId="8" fillId="0" borderId="4" xfId="2" applyNumberFormat="1" applyFont="1" applyFill="1" applyBorder="1" applyAlignment="1">
      <alignment horizontal="center" vertical="center"/>
    </xf>
    <xf numFmtId="43" fontId="8" fillId="0" borderId="6" xfId="2" applyNumberFormat="1" applyFont="1" applyFill="1" applyBorder="1" applyAlignment="1">
      <alignment horizontal="center" vertical="center"/>
    </xf>
    <xf numFmtId="4" fontId="2" fillId="3" borderId="24" xfId="0" applyNumberFormat="1" applyFont="1" applyFill="1" applyBorder="1" applyAlignment="1">
      <alignment horizontal="center" vertical="center"/>
    </xf>
    <xf numFmtId="0" fontId="3" fillId="3" borderId="25" xfId="0" applyFont="1" applyFill="1" applyBorder="1" applyAlignment="1">
      <alignment horizontal="center" vertical="center"/>
    </xf>
    <xf numFmtId="0" fontId="3" fillId="3" borderId="26" xfId="0" applyFont="1" applyFill="1" applyBorder="1" applyAlignment="1">
      <alignment horizontal="center" vertical="center"/>
    </xf>
    <xf numFmtId="4" fontId="2" fillId="3" borderId="8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4" fontId="2" fillId="3" borderId="10" xfId="0" applyNumberFormat="1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4" fontId="2" fillId="3" borderId="1" xfId="0" applyNumberFormat="1" applyFont="1" applyFill="1" applyBorder="1" applyAlignment="1">
      <alignment horizontal="center" vertical="center"/>
    </xf>
    <xf numFmtId="4" fontId="2" fillId="3" borderId="2" xfId="0" applyNumberFormat="1" applyFont="1" applyFill="1" applyBorder="1" applyAlignment="1">
      <alignment horizontal="center" vertical="center"/>
    </xf>
    <xf numFmtId="4" fontId="2" fillId="3" borderId="12" xfId="0" applyNumberFormat="1" applyFont="1" applyFill="1" applyBorder="1" applyAlignment="1">
      <alignment horizontal="center" vertical="center"/>
    </xf>
    <xf numFmtId="4" fontId="2" fillId="3" borderId="3" xfId="0" applyNumberFormat="1" applyFont="1" applyFill="1" applyBorder="1" applyAlignment="1">
      <alignment horizontal="center" vertical="center"/>
    </xf>
  </cellXfs>
  <cellStyles count="5">
    <cellStyle name="Millares" xfId="2" builtinId="3"/>
    <cellStyle name="Moneda 2" xfId="1"/>
    <cellStyle name="Normal" xfId="0" builtinId="0"/>
    <cellStyle name="Normal_Hoja1" xfId="3"/>
    <cellStyle name="Porcentual" xfId="4" builtinId="5"/>
  </cellStyles>
  <dxfs count="12">
    <dxf>
      <font>
        <b val="0"/>
        <strike val="0"/>
        <outline val="0"/>
        <shadow val="0"/>
        <u val="none"/>
        <vertAlign val="baseline"/>
        <sz val="12"/>
        <name val="Calibri"/>
      </font>
      <numFmt numFmtId="168" formatCode="0.00\ \€"/>
      <fill>
        <patternFill patternType="none">
          <fgColor indexed="64"/>
          <bgColor indexed="65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none"/>
      </font>
      <numFmt numFmtId="1" formatCode="0"/>
      <fill>
        <patternFill patternType="solid">
          <fgColor indexed="64"/>
          <bgColor theme="4" tint="0.59999389629810485"/>
        </patternFill>
      </fill>
      <alignment horizontal="center" vertical="top" textRotation="0" wrapText="0" indent="0" relativeIndent="0" justifyLastLine="0" shrinkToFit="1" mergeCell="0" readingOrder="0"/>
      <border diagonalUp="0" diagonalDown="0">
        <left/>
        <right style="thin">
          <color rgb="FF6FAC46"/>
        </right>
        <top style="thin">
          <color rgb="FF6FAC46"/>
        </top>
        <bottom style="thin">
          <color rgb="FF6FAC46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none"/>
      </font>
      <numFmt numFmtId="168" formatCode="0.00\ \€"/>
      <fill>
        <patternFill patternType="solid">
          <fgColor indexed="64"/>
          <bgColor theme="2" tint="-0.499984740745262"/>
        </patternFill>
      </fill>
      <alignment horizontal="center" vertical="top" textRotation="0" wrapText="0" indent="0" relativeIndent="0" justifyLastLine="0" shrinkToFit="1" mergeCell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strike val="0"/>
        <outline val="0"/>
        <shadow val="0"/>
        <u val="none"/>
        <vertAlign val="baseline"/>
        <sz val="12"/>
        <name val="Calibri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none"/>
      </font>
      <numFmt numFmtId="168" formatCode="0.00\ \€"/>
      <fill>
        <patternFill patternType="solid">
          <fgColor indexed="64"/>
          <bgColor rgb="FFE1EEDA"/>
        </patternFill>
      </fill>
      <alignment horizontal="center" vertical="top" textRotation="0" wrapText="0" indent="0" relativeIndent="255" justifyLastLine="0" shrinkToFit="1" mergeCell="0" readingOrder="0"/>
      <border diagonalUp="0" diagonalDown="0">
        <left/>
        <right style="thin">
          <color rgb="FF6FAC46"/>
        </right>
        <top style="thin">
          <color rgb="FF6FAC46"/>
        </top>
        <bottom style="thin">
          <color rgb="FF6FAC46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none"/>
      </font>
      <numFmt numFmtId="168" formatCode="0.00\ \€"/>
      <fill>
        <patternFill patternType="solid">
          <fgColor indexed="64"/>
          <bgColor rgb="FFE1EEDA"/>
        </patternFill>
      </fill>
      <alignment horizontal="center" vertical="top" textRotation="0" wrapText="0" indent="0" relativeIndent="255" justifyLastLine="0" shrinkToFit="1" mergeCell="0" readingOrder="0"/>
      <border diagonalUp="0" diagonalDown="0">
        <left style="thin">
          <color rgb="FF6FAC46"/>
        </left>
        <right/>
        <top style="thin">
          <color rgb="FF6FAC46"/>
        </top>
        <bottom style="thin">
          <color rgb="FF6FAC46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fill>
        <patternFill patternType="solid">
          <fgColor indexed="64"/>
          <bgColor rgb="FFE1EEDA"/>
        </patternFill>
      </fill>
      <alignment horizontal="center" vertical="top" textRotation="0" wrapText="1" indent="0" relativeIndent="255" justifyLastLine="0" shrinkToFit="0" mergeCell="0" readingOrder="0"/>
      <border diagonalUp="0" diagonalDown="0">
        <left style="thin">
          <color rgb="FF6FAC46"/>
        </left>
        <right style="thin">
          <color rgb="FF6FAC46"/>
        </right>
        <top style="thin">
          <color rgb="FF6FAC46"/>
        </top>
        <bottom style="thin">
          <color rgb="FF6FAC46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none"/>
      </font>
      <numFmt numFmtId="167" formatCode="000000"/>
      <fill>
        <patternFill patternType="solid">
          <fgColor indexed="64"/>
          <bgColor rgb="FFE1EEDA"/>
        </patternFill>
      </fill>
      <alignment horizontal="center" vertical="top" textRotation="0" wrapText="0" indent="0" relativeIndent="255" justifyLastLine="0" shrinkToFit="1" mergeCell="0" readingOrder="0"/>
      <border diagonalUp="0" diagonalDown="0">
        <left style="thin">
          <color rgb="FF6FAC46"/>
        </left>
        <right style="thin">
          <color rgb="FF6FAC46"/>
        </right>
        <top style="thin">
          <color rgb="FF6FAC46"/>
        </top>
        <bottom style="thin">
          <color rgb="FF6FAC46"/>
        </bottom>
      </border>
      <protection locked="0" hidden="0"/>
    </dxf>
    <dxf>
      <border outline="0">
        <bottom style="thin">
          <color rgb="FF6FAC46"/>
        </bottom>
      </border>
    </dxf>
    <dxf>
      <font>
        <b val="0"/>
        <strike val="0"/>
        <outline val="0"/>
        <shadow val="0"/>
        <u val="none"/>
        <vertAlign val="baseline"/>
        <sz val="12"/>
        <name val="Calibri"/>
      </font>
      <fill>
        <patternFill>
          <fgColor indexed="64"/>
        </patternFill>
      </fill>
      <alignment textRotation="0" indent="0" relativeIndent="255" justifyLastLine="0" mergeCell="0" readingOrder="0"/>
      <protection locked="0" hidden="0"/>
    </dxf>
    <dxf>
      <border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fill>
        <patternFill patternType="solid">
          <fgColor indexed="64"/>
          <bgColor theme="0"/>
        </patternFill>
      </fill>
      <alignment horizontal="center" vertical="top" textRotation="0" wrapText="1" indent="0" relativeIndent="255" justifyLastLine="0" shrinkToFit="0" mergeCell="0" readingOrder="0"/>
      <border diagonalUp="0" diagonalDown="0">
        <left/>
        <right/>
        <top/>
        <bottom/>
      </border>
      <protection locked="0" hidden="0"/>
    </dxf>
  </dxfs>
  <tableStyles count="0" defaultTableStyle="TableStyleMedium2" defaultPivotStyle="PivotStyleLight16"/>
  <colors>
    <mruColors>
      <color rgb="FF00FF00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390525</xdr:colOff>
      <xdr:row>2</xdr:row>
      <xdr:rowOff>38100</xdr:rowOff>
    </xdr:from>
    <xdr:to>
      <xdr:col>5</xdr:col>
      <xdr:colOff>295275</xdr:colOff>
      <xdr:row>6</xdr:row>
      <xdr:rowOff>86852</xdr:rowOff>
    </xdr:to>
    <xdr:pic>
      <xdr:nvPicPr>
        <xdr:cNvPr id="2" name="1 Imagen" descr="C:\Users\usuario\Desktop\RAFARMA GLOBAL FARMACÉUTICA\ok logo\logo_rafarma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34000" y="447675"/>
          <a:ext cx="2333625" cy="8583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10</xdr:row>
      <xdr:rowOff>0</xdr:rowOff>
    </xdr:from>
    <xdr:to>
      <xdr:col>7</xdr:col>
      <xdr:colOff>309562</xdr:colOff>
      <xdr:row>10</xdr:row>
      <xdr:rowOff>119062</xdr:rowOff>
    </xdr:to>
    <xdr:sp macro="" textlink="">
      <xdr:nvSpPr>
        <xdr:cNvPr id="2" name="AutoShape 1" descr="Resultado de imagen de sun pharma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0325100" y="2028825"/>
          <a:ext cx="309562" cy="119062"/>
        </a:xfrm>
        <a:prstGeom prst="rect">
          <a:avLst/>
        </a:prstGeom>
        <a:noFill/>
      </xdr:spPr>
    </xdr:sp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309562</xdr:colOff>
      <xdr:row>10</xdr:row>
      <xdr:rowOff>119062</xdr:rowOff>
    </xdr:to>
    <xdr:sp macro="" textlink="">
      <xdr:nvSpPr>
        <xdr:cNvPr id="3" name="AutoShape 2" descr="Resultado de imagen de sun pharma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10325100" y="2028825"/>
          <a:ext cx="309562" cy="119062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304800</xdr:colOff>
      <xdr:row>10</xdr:row>
      <xdr:rowOff>190500</xdr:rowOff>
    </xdr:to>
    <xdr:sp macro="" textlink="">
      <xdr:nvSpPr>
        <xdr:cNvPr id="4" name="AutoShape 3" descr="Resultado de imagen de sun pharm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9467850" y="2028825"/>
          <a:ext cx="304800" cy="190500"/>
        </a:xfrm>
        <a:prstGeom prst="rect">
          <a:avLst/>
        </a:prstGeom>
        <a:noFill/>
      </xdr:spPr>
    </xdr:sp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309562</xdr:colOff>
      <xdr:row>10</xdr:row>
      <xdr:rowOff>119062</xdr:rowOff>
    </xdr:to>
    <xdr:sp macro="" textlink="">
      <xdr:nvSpPr>
        <xdr:cNvPr id="5" name="AutoShape 1" descr="Resultado de imagen de sun pharma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10325100" y="2028825"/>
          <a:ext cx="309562" cy="119062"/>
        </a:xfrm>
        <a:prstGeom prst="rect">
          <a:avLst/>
        </a:prstGeom>
        <a:noFill/>
      </xdr:spPr>
    </xdr:sp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309562</xdr:colOff>
      <xdr:row>10</xdr:row>
      <xdr:rowOff>119062</xdr:rowOff>
    </xdr:to>
    <xdr:sp macro="" textlink="">
      <xdr:nvSpPr>
        <xdr:cNvPr id="6" name="AutoShape 2" descr="Resultado de imagen de sun pharma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10325100" y="2028825"/>
          <a:ext cx="309562" cy="119062"/>
        </a:xfrm>
        <a:prstGeom prst="rect">
          <a:avLst/>
        </a:prstGeom>
        <a:noFill/>
      </xdr:spPr>
    </xdr:sp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309562</xdr:colOff>
      <xdr:row>10</xdr:row>
      <xdr:rowOff>119062</xdr:rowOff>
    </xdr:to>
    <xdr:sp macro="" textlink="">
      <xdr:nvSpPr>
        <xdr:cNvPr id="7" name="AutoShape 1" descr="Resultado de imagen de sun pharma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0325100" y="2028825"/>
          <a:ext cx="309562" cy="119062"/>
        </a:xfrm>
        <a:prstGeom prst="rect">
          <a:avLst/>
        </a:prstGeom>
        <a:noFill/>
      </xdr:spPr>
    </xdr:sp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309562</xdr:colOff>
      <xdr:row>10</xdr:row>
      <xdr:rowOff>119062</xdr:rowOff>
    </xdr:to>
    <xdr:sp macro="" textlink="">
      <xdr:nvSpPr>
        <xdr:cNvPr id="8" name="AutoShape 2" descr="Resultado de imagen de sun pharma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0325100" y="2028825"/>
          <a:ext cx="309562" cy="119062"/>
        </a:xfrm>
        <a:prstGeom prst="rect">
          <a:avLst/>
        </a:prstGeom>
        <a:noFill/>
      </xdr:spPr>
    </xdr:sp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309562</xdr:colOff>
      <xdr:row>10</xdr:row>
      <xdr:rowOff>119062</xdr:rowOff>
    </xdr:to>
    <xdr:sp macro="" textlink="">
      <xdr:nvSpPr>
        <xdr:cNvPr id="9" name="AutoShape 1" descr="Resultado de imagen de sun pharma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10325100" y="2028825"/>
          <a:ext cx="309562" cy="119062"/>
        </a:xfrm>
        <a:prstGeom prst="rect">
          <a:avLst/>
        </a:prstGeom>
        <a:noFill/>
      </xdr:spPr>
    </xdr:sp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309562</xdr:colOff>
      <xdr:row>10</xdr:row>
      <xdr:rowOff>119062</xdr:rowOff>
    </xdr:to>
    <xdr:sp macro="" textlink="">
      <xdr:nvSpPr>
        <xdr:cNvPr id="10" name="AutoShape 2" descr="Resultado de imagen de sun pharma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0325100" y="2028825"/>
          <a:ext cx="309562" cy="119062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285750</xdr:colOff>
      <xdr:row>2</xdr:row>
      <xdr:rowOff>104775</xdr:rowOff>
    </xdr:from>
    <xdr:to>
      <xdr:col>4</xdr:col>
      <xdr:colOff>142875</xdr:colOff>
      <xdr:row>6</xdr:row>
      <xdr:rowOff>153527</xdr:rowOff>
    </xdr:to>
    <xdr:pic>
      <xdr:nvPicPr>
        <xdr:cNvPr id="11" name="10 Imagen" descr="C:\Users\usuario\Desktop\RAFARMA GLOBAL FARMACÉUTICA\ok logo\logo_rafarma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29300" y="514350"/>
          <a:ext cx="2333625" cy="8583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1075765</xdr:colOff>
      <xdr:row>1</xdr:row>
      <xdr:rowOff>156882</xdr:rowOff>
    </xdr:from>
    <xdr:to>
      <xdr:col>8</xdr:col>
      <xdr:colOff>1226330</xdr:colOff>
      <xdr:row>6</xdr:row>
      <xdr:rowOff>96376</xdr:rowOff>
    </xdr:to>
    <xdr:pic>
      <xdr:nvPicPr>
        <xdr:cNvPr id="3" name="2 Imagen" descr="C:\Users\usuario\Desktop\RAFARMA GLOBAL FARMACÉUTICA\ok logo\logo_rafarma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365441" y="358588"/>
          <a:ext cx="2638271" cy="9704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ables/table1.xml><?xml version="1.0" encoding="utf-8"?>
<table xmlns="http://schemas.openxmlformats.org/spreadsheetml/2006/main" id="2" name="Tabla243" displayName="Tabla243" ref="A12:H132" totalsRowShown="0" headerRowDxfId="11" dataDxfId="9" headerRowBorderDxfId="10" tableBorderDxfId="8">
  <autoFilter ref="A12:H132"/>
  <tableColumns count="8">
    <tableColumn id="1" name="COD. PROD" dataDxfId="7"/>
    <tableColumn id="2" name="DESCRIPCION" dataDxfId="6"/>
    <tableColumn id="3" name="PVL" dataDxfId="5"/>
    <tableColumn id="4" name="PVPR" dataDxfId="4"/>
    <tableColumn id="10" name="OFERTA 1" dataDxfId="3"/>
    <tableColumn id="5" name="OFERTA 2" dataDxfId="2" dataCellStyle="Porcentual"/>
    <tableColumn id="6" name=" UNIDADES" dataDxfId="1" dataCellStyle="Porcentual"/>
    <tableColumn id="11" name="PVL NETO" dataDxfId="0">
      <calculatedColumnFormula>IF(Tabla243[[#This Row],[ UNIDADES]]&lt;5,Tabla243[[#This Row],[ UNIDADES]]*Tabla243[[#This Row],[PVL]],IF(Tabla243[[#This Row],[ UNIDADES]]&lt;12,Tabla243[[#This Row],[ UNIDADES]]*Tabla243[[#This Row],[PVL]]*0.8,Tabla243[[#This Row],[ UNIDADES]]*Tabla243[[#This Row],[PVL]]*0.75))</calculatedColumnFormula>
    </tableColumn>
  </tableColumns>
  <tableStyleInfo name="TableStyleMedium7" showFirstColumn="0" showLastColumn="0" showRowStripes="0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853"/>
  <sheetViews>
    <sheetView showZeros="0" zoomScaleNormal="100" workbookViewId="0">
      <selection activeCell="K5" sqref="K5"/>
    </sheetView>
  </sheetViews>
  <sheetFormatPr baseColWidth="10" defaultColWidth="11.42578125" defaultRowHeight="15.75"/>
  <cols>
    <col min="1" max="1" width="20.140625" style="11" bestFit="1" customWidth="1"/>
    <col min="2" max="2" width="54" style="17" bestFit="1" customWidth="1"/>
    <col min="3" max="3" width="10.7109375" style="18" customWidth="1"/>
    <col min="4" max="4" width="14.85546875" style="18" bestFit="1" customWidth="1"/>
    <col min="5" max="5" width="10.85546875" style="18" bestFit="1" customWidth="1"/>
    <col min="6" max="6" width="10.7109375" style="18" bestFit="1" customWidth="1"/>
    <col min="7" max="7" width="14.85546875" style="18" bestFit="1" customWidth="1"/>
    <col min="8" max="8" width="11" style="18" bestFit="1" customWidth="1"/>
    <col min="9" max="9" width="15.85546875" style="10" customWidth="1"/>
    <col min="10" max="10" width="9" style="3" bestFit="1" customWidth="1"/>
    <col min="11" max="16384" width="11.42578125" style="3"/>
  </cols>
  <sheetData>
    <row r="1" spans="1:10">
      <c r="A1" s="55" t="s">
        <v>868</v>
      </c>
      <c r="B1" s="56" t="s">
        <v>883</v>
      </c>
      <c r="C1" s="64"/>
      <c r="D1" s="65"/>
      <c r="E1" s="65"/>
      <c r="F1" s="65"/>
      <c r="G1" s="65"/>
      <c r="H1" s="65"/>
      <c r="I1" s="66"/>
      <c r="J1" s="67"/>
    </row>
    <row r="2" spans="1:10" ht="16.5" thickBot="1">
      <c r="A2" s="55" t="s">
        <v>869</v>
      </c>
      <c r="B2" s="57"/>
      <c r="C2" s="68"/>
      <c r="D2" s="58"/>
      <c r="E2" s="58"/>
      <c r="F2" s="58"/>
      <c r="G2" s="58"/>
      <c r="H2" s="58"/>
      <c r="I2" s="59"/>
      <c r="J2" s="69"/>
    </row>
    <row r="3" spans="1:10" ht="16.5" thickBot="1">
      <c r="A3" s="55" t="s">
        <v>870</v>
      </c>
      <c r="B3" s="57"/>
      <c r="C3" s="68"/>
      <c r="D3" s="58"/>
      <c r="E3" s="272"/>
      <c r="F3" s="272"/>
      <c r="G3" s="58" t="s">
        <v>871</v>
      </c>
      <c r="H3" s="70"/>
      <c r="I3" s="60">
        <v>300</v>
      </c>
      <c r="J3" s="69"/>
    </row>
    <row r="4" spans="1:10">
      <c r="A4" s="55" t="s">
        <v>872</v>
      </c>
      <c r="B4" s="57"/>
      <c r="C4" s="68"/>
      <c r="D4" s="58"/>
      <c r="E4" s="272"/>
      <c r="F4" s="272"/>
      <c r="G4" s="58" t="s">
        <v>873</v>
      </c>
      <c r="H4" s="70"/>
      <c r="I4" s="61" t="s">
        <v>874</v>
      </c>
      <c r="J4" s="69"/>
    </row>
    <row r="5" spans="1:10">
      <c r="A5" s="55" t="s">
        <v>875</v>
      </c>
      <c r="B5" s="57"/>
      <c r="C5" s="68"/>
      <c r="D5" s="58"/>
      <c r="E5" s="272"/>
      <c r="F5" s="272"/>
      <c r="G5" s="58"/>
      <c r="H5" s="70"/>
      <c r="I5" s="61"/>
      <c r="J5" s="69"/>
    </row>
    <row r="6" spans="1:10">
      <c r="A6" s="55" t="s">
        <v>876</v>
      </c>
      <c r="B6" s="57"/>
      <c r="C6" s="68"/>
      <c r="D6" s="58"/>
      <c r="E6" s="272"/>
      <c r="F6" s="272"/>
      <c r="G6" s="58" t="s">
        <v>877</v>
      </c>
      <c r="H6" s="70"/>
      <c r="I6" s="61" t="s">
        <v>878</v>
      </c>
      <c r="J6" s="69"/>
    </row>
    <row r="7" spans="1:10">
      <c r="A7" s="55" t="s">
        <v>879</v>
      </c>
      <c r="B7" s="62"/>
      <c r="C7" s="68"/>
      <c r="D7" s="58"/>
      <c r="E7" s="58"/>
      <c r="F7" s="58"/>
      <c r="G7" s="58"/>
      <c r="H7" s="58"/>
      <c r="I7" s="59"/>
      <c r="J7" s="69"/>
    </row>
    <row r="8" spans="1:10">
      <c r="A8" s="55" t="s">
        <v>880</v>
      </c>
      <c r="B8" s="57"/>
      <c r="C8" s="68"/>
      <c r="D8" s="58"/>
      <c r="E8" s="58"/>
      <c r="F8" s="58"/>
      <c r="G8" s="58"/>
      <c r="H8" s="58"/>
      <c r="I8" s="59"/>
      <c r="J8" s="69"/>
    </row>
    <row r="9" spans="1:10">
      <c r="A9" s="55" t="s">
        <v>881</v>
      </c>
      <c r="B9" s="57"/>
      <c r="C9" s="68"/>
      <c r="D9" s="58"/>
      <c r="E9" s="58"/>
      <c r="F9" s="58"/>
      <c r="G9" s="58"/>
      <c r="H9" s="58"/>
      <c r="I9" s="59"/>
      <c r="J9" s="69"/>
    </row>
    <row r="10" spans="1:10" ht="16.5" thickBot="1">
      <c r="A10" s="55" t="s">
        <v>882</v>
      </c>
      <c r="B10" s="63"/>
      <c r="C10" s="71"/>
      <c r="D10" s="72"/>
      <c r="E10" s="72"/>
      <c r="F10" s="72"/>
      <c r="G10" s="72"/>
      <c r="H10" s="72"/>
      <c r="I10" s="73"/>
      <c r="J10" s="74"/>
    </row>
    <row r="11" spans="1:10" s="2" customFormat="1" ht="24" customHeight="1" thickBot="1">
      <c r="A11" s="77" t="s">
        <v>20</v>
      </c>
      <c r="B11" s="78" t="s">
        <v>21</v>
      </c>
      <c r="C11" s="79" t="s">
        <v>16</v>
      </c>
      <c r="D11" s="78" t="s">
        <v>169</v>
      </c>
      <c r="E11" s="80" t="s">
        <v>15</v>
      </c>
      <c r="F11" s="81" t="s">
        <v>17</v>
      </c>
      <c r="G11" s="78" t="s">
        <v>169</v>
      </c>
      <c r="H11" s="82" t="s">
        <v>18</v>
      </c>
      <c r="I11" s="83" t="s">
        <v>32</v>
      </c>
      <c r="J11" s="84" t="s">
        <v>33</v>
      </c>
    </row>
    <row r="12" spans="1:10" ht="24" customHeight="1">
      <c r="A12" s="334" t="s">
        <v>366</v>
      </c>
      <c r="B12" s="335"/>
      <c r="C12" s="335"/>
      <c r="D12" s="335"/>
      <c r="E12" s="335"/>
      <c r="F12" s="335"/>
      <c r="G12" s="335"/>
      <c r="H12" s="336"/>
      <c r="I12" s="75"/>
      <c r="J12" s="76"/>
    </row>
    <row r="13" spans="1:10" ht="24" customHeight="1">
      <c r="A13" s="37">
        <v>728220</v>
      </c>
      <c r="B13" s="4" t="s">
        <v>367</v>
      </c>
      <c r="C13" s="13">
        <v>46.03</v>
      </c>
      <c r="D13" s="5"/>
      <c r="E13" s="5">
        <f>C13</f>
        <v>46.03</v>
      </c>
      <c r="F13" s="5"/>
      <c r="G13" s="5"/>
      <c r="H13" s="24">
        <f t="shared" ref="H13:H18" si="0">F13*0.96</f>
        <v>0</v>
      </c>
      <c r="I13" s="27"/>
      <c r="J13" s="38">
        <f>I13*E13</f>
        <v>0</v>
      </c>
    </row>
    <row r="14" spans="1:10" ht="24" customHeight="1">
      <c r="A14" s="37">
        <v>728154</v>
      </c>
      <c r="B14" s="4" t="s">
        <v>368</v>
      </c>
      <c r="C14" s="13">
        <v>15.34</v>
      </c>
      <c r="D14" s="5"/>
      <c r="E14" s="5">
        <f t="shared" ref="E14:E18" si="1">C14</f>
        <v>15.34</v>
      </c>
      <c r="F14" s="5"/>
      <c r="G14" s="5"/>
      <c r="H14" s="24">
        <f t="shared" si="0"/>
        <v>0</v>
      </c>
      <c r="I14" s="27"/>
      <c r="J14" s="39">
        <f t="shared" ref="J14:J18" si="2">I14*E14</f>
        <v>0</v>
      </c>
    </row>
    <row r="15" spans="1:10" ht="24" customHeight="1">
      <c r="A15" s="37">
        <v>728196</v>
      </c>
      <c r="B15" s="4" t="s">
        <v>369</v>
      </c>
      <c r="C15" s="13">
        <v>30.69</v>
      </c>
      <c r="D15" s="5"/>
      <c r="E15" s="5">
        <f t="shared" si="1"/>
        <v>30.69</v>
      </c>
      <c r="F15" s="5"/>
      <c r="G15" s="5"/>
      <c r="H15" s="24">
        <f t="shared" si="0"/>
        <v>0</v>
      </c>
      <c r="I15" s="27"/>
      <c r="J15" s="39">
        <f t="shared" si="2"/>
        <v>0</v>
      </c>
    </row>
    <row r="16" spans="1:10" ht="24" customHeight="1">
      <c r="A16" s="37">
        <v>651609</v>
      </c>
      <c r="B16" s="4" t="s">
        <v>370</v>
      </c>
      <c r="C16" s="13">
        <v>46.03</v>
      </c>
      <c r="D16" s="5"/>
      <c r="E16" s="5">
        <f t="shared" si="1"/>
        <v>46.03</v>
      </c>
      <c r="F16" s="5"/>
      <c r="G16" s="5"/>
      <c r="H16" s="24">
        <f t="shared" si="0"/>
        <v>0</v>
      </c>
      <c r="I16" s="27"/>
      <c r="J16" s="39">
        <f t="shared" si="2"/>
        <v>0</v>
      </c>
    </row>
    <row r="17" spans="1:10" ht="24" customHeight="1">
      <c r="A17" s="37">
        <v>652738</v>
      </c>
      <c r="B17" s="4" t="s">
        <v>371</v>
      </c>
      <c r="C17" s="13">
        <v>16.440000000000001</v>
      </c>
      <c r="D17" s="5"/>
      <c r="E17" s="5">
        <f t="shared" si="1"/>
        <v>16.440000000000001</v>
      </c>
      <c r="F17" s="5"/>
      <c r="G17" s="5"/>
      <c r="H17" s="24">
        <f t="shared" si="0"/>
        <v>0</v>
      </c>
      <c r="I17" s="27"/>
      <c r="J17" s="39">
        <f t="shared" si="2"/>
        <v>0</v>
      </c>
    </row>
    <row r="18" spans="1:10" ht="24" customHeight="1">
      <c r="A18" s="37">
        <v>651608</v>
      </c>
      <c r="B18" s="4" t="s">
        <v>372</v>
      </c>
      <c r="C18" s="13">
        <v>30.69</v>
      </c>
      <c r="D18" s="5"/>
      <c r="E18" s="5">
        <f t="shared" si="1"/>
        <v>30.69</v>
      </c>
      <c r="F18" s="5"/>
      <c r="G18" s="5"/>
      <c r="H18" s="24">
        <f t="shared" si="0"/>
        <v>0</v>
      </c>
      <c r="I18" s="27"/>
      <c r="J18" s="38">
        <f t="shared" si="2"/>
        <v>0</v>
      </c>
    </row>
    <row r="19" spans="1:10" ht="24" customHeight="1">
      <c r="A19" s="37">
        <v>701735</v>
      </c>
      <c r="B19" s="4" t="s">
        <v>373</v>
      </c>
      <c r="C19" s="5">
        <v>252.45</v>
      </c>
      <c r="D19" s="5"/>
      <c r="E19" s="5"/>
      <c r="F19" s="21">
        <v>259.99</v>
      </c>
      <c r="G19" s="5"/>
      <c r="H19" s="24">
        <f>F19</f>
        <v>259.99</v>
      </c>
      <c r="I19" s="27"/>
      <c r="J19" s="38">
        <f>I19*H19</f>
        <v>0</v>
      </c>
    </row>
    <row r="20" spans="1:10" ht="24" customHeight="1">
      <c r="A20" s="37">
        <v>701736</v>
      </c>
      <c r="B20" s="4" t="s">
        <v>374</v>
      </c>
      <c r="C20" s="5">
        <v>252.45</v>
      </c>
      <c r="D20" s="5"/>
      <c r="E20" s="5"/>
      <c r="F20" s="21">
        <v>259.99</v>
      </c>
      <c r="G20" s="5"/>
      <c r="H20" s="24">
        <f>F20</f>
        <v>259.99</v>
      </c>
      <c r="I20" s="27"/>
      <c r="J20" s="38">
        <f t="shared" ref="J20" si="3">I20*H20</f>
        <v>0</v>
      </c>
    </row>
    <row r="21" spans="1:10" ht="24" customHeight="1">
      <c r="A21" s="337" t="s">
        <v>588</v>
      </c>
      <c r="B21" s="338"/>
      <c r="C21" s="338"/>
      <c r="D21" s="338"/>
      <c r="E21" s="338"/>
      <c r="F21" s="338"/>
      <c r="G21" s="338"/>
      <c r="H21" s="339"/>
      <c r="I21" s="26"/>
      <c r="J21" s="36"/>
    </row>
    <row r="22" spans="1:10" ht="24" customHeight="1">
      <c r="A22" s="37" t="s">
        <v>457</v>
      </c>
      <c r="B22" s="4" t="s">
        <v>458</v>
      </c>
      <c r="C22" s="20">
        <v>20.76</v>
      </c>
      <c r="D22" s="5">
        <v>30</v>
      </c>
      <c r="E22" s="5">
        <f t="shared" ref="E22:E26" si="4">+C22*0.7</f>
        <v>14.532</v>
      </c>
      <c r="F22" s="5"/>
      <c r="G22" s="5"/>
      <c r="H22" s="24"/>
      <c r="I22" s="27"/>
      <c r="J22" s="38">
        <f t="shared" ref="J22:J23" si="5">+I22*E22</f>
        <v>0</v>
      </c>
    </row>
    <row r="23" spans="1:10" ht="24" customHeight="1">
      <c r="A23" s="37" t="s">
        <v>459</v>
      </c>
      <c r="B23" s="4" t="s">
        <v>460</v>
      </c>
      <c r="C23" s="20">
        <v>14.2</v>
      </c>
      <c r="D23" s="5">
        <v>30</v>
      </c>
      <c r="E23" s="5">
        <f t="shared" si="4"/>
        <v>9.94</v>
      </c>
      <c r="F23" s="5"/>
      <c r="G23" s="5"/>
      <c r="H23" s="24"/>
      <c r="I23" s="27"/>
      <c r="J23" s="38">
        <f t="shared" si="5"/>
        <v>0</v>
      </c>
    </row>
    <row r="24" spans="1:10" ht="24" customHeight="1">
      <c r="A24" s="37" t="s">
        <v>461</v>
      </c>
      <c r="B24" s="4" t="s">
        <v>455</v>
      </c>
      <c r="C24" s="13">
        <v>8.98</v>
      </c>
      <c r="D24" s="5">
        <v>30</v>
      </c>
      <c r="E24" s="5">
        <f t="shared" si="4"/>
        <v>6.2859999999999996</v>
      </c>
      <c r="F24" s="5"/>
      <c r="G24" s="5"/>
      <c r="H24" s="24"/>
      <c r="I24" s="27"/>
      <c r="J24" s="38">
        <f t="shared" ref="J24:J26" si="6">+I24*E24</f>
        <v>0</v>
      </c>
    </row>
    <row r="25" spans="1:10" ht="24" customHeight="1">
      <c r="A25" s="37" t="s">
        <v>462</v>
      </c>
      <c r="B25" s="4" t="s">
        <v>456</v>
      </c>
      <c r="C25" s="13">
        <v>8.98</v>
      </c>
      <c r="D25" s="5">
        <v>30</v>
      </c>
      <c r="E25" s="5">
        <f t="shared" si="4"/>
        <v>6.2859999999999996</v>
      </c>
      <c r="F25" s="5"/>
      <c r="G25" s="5"/>
      <c r="H25" s="24"/>
      <c r="I25" s="27"/>
      <c r="J25" s="38">
        <f t="shared" si="6"/>
        <v>0</v>
      </c>
    </row>
    <row r="26" spans="1:10" ht="24" customHeight="1">
      <c r="A26" s="37" t="s">
        <v>463</v>
      </c>
      <c r="B26" s="4" t="s">
        <v>464</v>
      </c>
      <c r="C26" s="13">
        <v>13.82</v>
      </c>
      <c r="D26" s="5">
        <v>30</v>
      </c>
      <c r="E26" s="5">
        <f t="shared" si="4"/>
        <v>9.6739999999999995</v>
      </c>
      <c r="F26" s="5"/>
      <c r="G26" s="5"/>
      <c r="H26" s="24"/>
      <c r="I26" s="27"/>
      <c r="J26" s="38">
        <f t="shared" si="6"/>
        <v>0</v>
      </c>
    </row>
    <row r="27" spans="1:10" ht="24" customHeight="1">
      <c r="A27" s="337" t="s">
        <v>19</v>
      </c>
      <c r="B27" s="338"/>
      <c r="C27" s="338"/>
      <c r="D27" s="338"/>
      <c r="E27" s="338"/>
      <c r="F27" s="338"/>
      <c r="G27" s="338"/>
      <c r="H27" s="339"/>
      <c r="I27" s="26"/>
      <c r="J27" s="36"/>
    </row>
    <row r="28" spans="1:10" ht="24" customHeight="1">
      <c r="A28" s="37">
        <v>723310</v>
      </c>
      <c r="B28" s="4" t="s">
        <v>0</v>
      </c>
      <c r="C28" s="5">
        <v>13.07</v>
      </c>
      <c r="D28" s="5"/>
      <c r="E28" s="5"/>
      <c r="F28" s="21">
        <v>14.15</v>
      </c>
      <c r="G28" s="5">
        <v>4</v>
      </c>
      <c r="H28" s="24">
        <f t="shared" ref="H28:H34" si="7">F28*0.96</f>
        <v>13.584</v>
      </c>
      <c r="I28" s="27"/>
      <c r="J28" s="38">
        <f t="shared" ref="J28:J42" si="8">I28*H28</f>
        <v>0</v>
      </c>
    </row>
    <row r="29" spans="1:10" ht="24" customHeight="1">
      <c r="A29" s="37"/>
      <c r="B29" s="4" t="s">
        <v>660</v>
      </c>
      <c r="C29" s="5">
        <v>13.07</v>
      </c>
      <c r="D29" s="5"/>
      <c r="E29" s="5"/>
      <c r="F29" s="21">
        <v>14.15</v>
      </c>
      <c r="G29" s="5">
        <v>5</v>
      </c>
      <c r="H29" s="24">
        <f>F29*0.95</f>
        <v>13.442499999999999</v>
      </c>
      <c r="I29" s="27"/>
      <c r="J29" s="38">
        <f t="shared" ref="J29" si="9">I29*H29</f>
        <v>0</v>
      </c>
    </row>
    <row r="30" spans="1:10" ht="24" customHeight="1">
      <c r="A30" s="37">
        <v>723309</v>
      </c>
      <c r="B30" s="4" t="s">
        <v>1</v>
      </c>
      <c r="C30" s="5">
        <v>26.14</v>
      </c>
      <c r="D30" s="5"/>
      <c r="E30" s="5"/>
      <c r="F30" s="21">
        <v>28.29</v>
      </c>
      <c r="G30" s="5">
        <v>4</v>
      </c>
      <c r="H30" s="24">
        <f t="shared" si="7"/>
        <v>27.158399999999997</v>
      </c>
      <c r="I30" s="27"/>
      <c r="J30" s="38">
        <f t="shared" si="8"/>
        <v>0</v>
      </c>
    </row>
    <row r="31" spans="1:10" ht="24" customHeight="1">
      <c r="A31" s="37">
        <v>658956</v>
      </c>
      <c r="B31" s="4" t="s">
        <v>2</v>
      </c>
      <c r="C31" s="5">
        <v>49.93</v>
      </c>
      <c r="D31" s="5"/>
      <c r="E31" s="5"/>
      <c r="F31" s="21">
        <v>54.04</v>
      </c>
      <c r="G31" s="5">
        <v>4</v>
      </c>
      <c r="H31" s="24">
        <f t="shared" si="7"/>
        <v>51.878399999999999</v>
      </c>
      <c r="I31" s="27"/>
      <c r="J31" s="38">
        <f t="shared" si="8"/>
        <v>0</v>
      </c>
    </row>
    <row r="32" spans="1:10" ht="24" customHeight="1">
      <c r="A32" s="37">
        <v>658954</v>
      </c>
      <c r="B32" s="4" t="s">
        <v>12</v>
      </c>
      <c r="C32" s="5">
        <v>24.97</v>
      </c>
      <c r="D32" s="5"/>
      <c r="E32" s="5"/>
      <c r="F32" s="21">
        <v>27.02</v>
      </c>
      <c r="G32" s="5">
        <v>4</v>
      </c>
      <c r="H32" s="24">
        <f t="shared" si="7"/>
        <v>25.9392</v>
      </c>
      <c r="I32" s="27"/>
      <c r="J32" s="38">
        <f t="shared" si="8"/>
        <v>0</v>
      </c>
    </row>
    <row r="33" spans="1:10" ht="24" customHeight="1">
      <c r="A33" s="37">
        <v>658953</v>
      </c>
      <c r="B33" s="4" t="s">
        <v>3</v>
      </c>
      <c r="C33" s="5">
        <v>12.48</v>
      </c>
      <c r="D33" s="5"/>
      <c r="E33" s="5"/>
      <c r="F33" s="21">
        <v>13.5</v>
      </c>
      <c r="G33" s="5">
        <v>4</v>
      </c>
      <c r="H33" s="24">
        <f t="shared" si="7"/>
        <v>12.959999999999999</v>
      </c>
      <c r="I33" s="27"/>
      <c r="J33" s="38">
        <f t="shared" si="8"/>
        <v>0</v>
      </c>
    </row>
    <row r="34" spans="1:10" ht="24" customHeight="1">
      <c r="A34" s="37">
        <v>662915</v>
      </c>
      <c r="B34" s="4" t="s">
        <v>4</v>
      </c>
      <c r="C34" s="5">
        <v>74.900000000000006</v>
      </c>
      <c r="D34" s="5"/>
      <c r="E34" s="5"/>
      <c r="F34" s="21">
        <v>81.06</v>
      </c>
      <c r="G34" s="5">
        <v>4</v>
      </c>
      <c r="H34" s="24">
        <f t="shared" si="7"/>
        <v>77.817599999999999</v>
      </c>
      <c r="I34" s="27"/>
      <c r="J34" s="38">
        <f t="shared" si="8"/>
        <v>0</v>
      </c>
    </row>
    <row r="35" spans="1:10" ht="24" customHeight="1">
      <c r="A35" s="37">
        <v>658957</v>
      </c>
      <c r="B35" s="4" t="s">
        <v>8</v>
      </c>
      <c r="C35" s="5">
        <v>124.83</v>
      </c>
      <c r="D35" s="5"/>
      <c r="E35" s="5"/>
      <c r="F35" s="21">
        <v>132.37</v>
      </c>
      <c r="G35" s="5">
        <v>2</v>
      </c>
      <c r="H35" s="24">
        <f>F35*0.98</f>
        <v>129.7226</v>
      </c>
      <c r="I35" s="27"/>
      <c r="J35" s="38">
        <f t="shared" si="8"/>
        <v>0</v>
      </c>
    </row>
    <row r="36" spans="1:10" ht="24" customHeight="1">
      <c r="A36" s="37">
        <v>673483</v>
      </c>
      <c r="B36" s="4" t="s">
        <v>9</v>
      </c>
      <c r="C36" s="5">
        <v>7.02</v>
      </c>
      <c r="D36" s="5"/>
      <c r="E36" s="5"/>
      <c r="F36" s="21">
        <v>7.5993399999999989</v>
      </c>
      <c r="G36" s="5">
        <v>4</v>
      </c>
      <c r="H36" s="24">
        <f t="shared" ref="H36:H42" si="10">F36*0.96</f>
        <v>7.2953663999999989</v>
      </c>
      <c r="I36" s="27"/>
      <c r="J36" s="38">
        <f t="shared" si="8"/>
        <v>0</v>
      </c>
    </row>
    <row r="37" spans="1:10" ht="24" customHeight="1">
      <c r="A37" s="37">
        <v>651013</v>
      </c>
      <c r="B37" s="4" t="s">
        <v>5</v>
      </c>
      <c r="C37" s="5">
        <v>7.02</v>
      </c>
      <c r="D37" s="5"/>
      <c r="E37" s="5"/>
      <c r="F37" s="21">
        <v>7.5993399999999989</v>
      </c>
      <c r="G37" s="5">
        <v>4</v>
      </c>
      <c r="H37" s="24">
        <f t="shared" si="10"/>
        <v>7.2953663999999989</v>
      </c>
      <c r="I37" s="27"/>
      <c r="J37" s="38">
        <f t="shared" si="8"/>
        <v>0</v>
      </c>
    </row>
    <row r="38" spans="1:10" ht="24" customHeight="1">
      <c r="A38" s="37"/>
      <c r="B38" s="4" t="s">
        <v>425</v>
      </c>
      <c r="C38" s="5">
        <v>7.02</v>
      </c>
      <c r="D38" s="5"/>
      <c r="E38" s="5"/>
      <c r="F38" s="21">
        <v>7.5993399999999989</v>
      </c>
      <c r="G38" s="5">
        <v>5</v>
      </c>
      <c r="H38" s="24">
        <f>F38*0.95</f>
        <v>7.2193729999999983</v>
      </c>
      <c r="I38" s="27"/>
      <c r="J38" s="38">
        <f t="shared" ref="J38" si="11">I38*H38</f>
        <v>0</v>
      </c>
    </row>
    <row r="39" spans="1:10" ht="24" customHeight="1">
      <c r="A39" s="37">
        <v>696527</v>
      </c>
      <c r="B39" s="4" t="s">
        <v>55</v>
      </c>
      <c r="C39" s="5">
        <v>28.9</v>
      </c>
      <c r="D39" s="5"/>
      <c r="E39" s="5"/>
      <c r="F39" s="21">
        <v>31.28</v>
      </c>
      <c r="G39" s="5">
        <v>4</v>
      </c>
      <c r="H39" s="24">
        <f t="shared" si="10"/>
        <v>30.0288</v>
      </c>
      <c r="I39" s="27"/>
      <c r="J39" s="38">
        <f t="shared" si="8"/>
        <v>0</v>
      </c>
    </row>
    <row r="40" spans="1:10" ht="24" customHeight="1">
      <c r="A40" s="37">
        <v>701917</v>
      </c>
      <c r="B40" s="4" t="s">
        <v>76</v>
      </c>
      <c r="C40" s="5">
        <v>36.340000000000003</v>
      </c>
      <c r="D40" s="5"/>
      <c r="E40" s="5"/>
      <c r="F40" s="21">
        <v>39.33</v>
      </c>
      <c r="G40" s="5">
        <v>4</v>
      </c>
      <c r="H40" s="24">
        <f t="shared" si="10"/>
        <v>37.756799999999998</v>
      </c>
      <c r="I40" s="27"/>
      <c r="J40" s="38">
        <f t="shared" si="8"/>
        <v>0</v>
      </c>
    </row>
    <row r="41" spans="1:10" ht="24" customHeight="1">
      <c r="A41" s="37">
        <v>885780</v>
      </c>
      <c r="B41" s="4" t="s">
        <v>6</v>
      </c>
      <c r="C41" s="5">
        <v>46.08</v>
      </c>
      <c r="D41" s="5"/>
      <c r="E41" s="5"/>
      <c r="F41" s="21">
        <v>49.87</v>
      </c>
      <c r="G41" s="5">
        <v>4</v>
      </c>
      <c r="H41" s="24">
        <f t="shared" si="10"/>
        <v>47.875199999999992</v>
      </c>
      <c r="I41" s="27"/>
      <c r="J41" s="38">
        <f t="shared" si="8"/>
        <v>0</v>
      </c>
    </row>
    <row r="42" spans="1:10" ht="24" customHeight="1">
      <c r="A42" s="37">
        <v>888065</v>
      </c>
      <c r="B42" s="4" t="s">
        <v>11</v>
      </c>
      <c r="C42" s="5">
        <v>11.52</v>
      </c>
      <c r="D42" s="5"/>
      <c r="E42" s="5"/>
      <c r="F42" s="21">
        <v>12.47</v>
      </c>
      <c r="G42" s="5">
        <v>4</v>
      </c>
      <c r="H42" s="24">
        <f t="shared" si="10"/>
        <v>11.9712</v>
      </c>
      <c r="I42" s="27"/>
      <c r="J42" s="38">
        <f t="shared" si="8"/>
        <v>0</v>
      </c>
    </row>
    <row r="43" spans="1:10" ht="24" customHeight="1">
      <c r="A43" s="337" t="s">
        <v>445</v>
      </c>
      <c r="B43" s="338"/>
      <c r="C43" s="338"/>
      <c r="D43" s="338"/>
      <c r="E43" s="338"/>
      <c r="F43" s="338"/>
      <c r="G43" s="338"/>
      <c r="H43" s="339"/>
      <c r="I43" s="26"/>
      <c r="J43" s="36"/>
    </row>
    <row r="44" spans="1:10" ht="24" customHeight="1">
      <c r="A44" s="37">
        <v>651152</v>
      </c>
      <c r="B44" s="4" t="s">
        <v>446</v>
      </c>
      <c r="C44" s="5">
        <v>58.5</v>
      </c>
      <c r="D44" s="5"/>
      <c r="E44" s="5"/>
      <c r="F44" s="21">
        <v>63.31</v>
      </c>
      <c r="G44" s="5">
        <v>3.5</v>
      </c>
      <c r="H44" s="24">
        <f>F44*0.965</f>
        <v>61.094149999999999</v>
      </c>
      <c r="I44" s="27"/>
      <c r="J44" s="38">
        <f>I44*H44</f>
        <v>0</v>
      </c>
    </row>
    <row r="45" spans="1:10" ht="24" customHeight="1">
      <c r="A45" s="37">
        <v>723297</v>
      </c>
      <c r="B45" s="4" t="s">
        <v>447</v>
      </c>
      <c r="C45" s="5">
        <v>25.34</v>
      </c>
      <c r="D45" s="5"/>
      <c r="E45" s="5"/>
      <c r="F45" s="21">
        <v>27.43</v>
      </c>
      <c r="G45" s="5">
        <v>3.5</v>
      </c>
      <c r="H45" s="24">
        <f t="shared" ref="H45:H47" si="12">F45*0.965</f>
        <v>26.469949999999997</v>
      </c>
      <c r="I45" s="27"/>
      <c r="J45" s="38">
        <f t="shared" ref="J45:J47" si="13">I45*H45</f>
        <v>0</v>
      </c>
    </row>
    <row r="46" spans="1:10" ht="24" customHeight="1">
      <c r="A46" s="37">
        <v>723298</v>
      </c>
      <c r="B46" s="4" t="s">
        <v>448</v>
      </c>
      <c r="C46" s="5">
        <v>25.34</v>
      </c>
      <c r="D46" s="5"/>
      <c r="E46" s="5"/>
      <c r="F46" s="21">
        <v>27.43</v>
      </c>
      <c r="G46" s="5">
        <v>3.5</v>
      </c>
      <c r="H46" s="24">
        <f t="shared" si="12"/>
        <v>26.469949999999997</v>
      </c>
      <c r="I46" s="27"/>
      <c r="J46" s="38">
        <f t="shared" si="13"/>
        <v>0</v>
      </c>
    </row>
    <row r="47" spans="1:10" ht="24" customHeight="1">
      <c r="A47" s="37">
        <v>711251</v>
      </c>
      <c r="B47" s="4" t="s">
        <v>449</v>
      </c>
      <c r="C47" s="5">
        <v>25.14</v>
      </c>
      <c r="D47" s="5"/>
      <c r="E47" s="5"/>
      <c r="F47" s="21">
        <v>27.21</v>
      </c>
      <c r="G47" s="5">
        <v>3.5</v>
      </c>
      <c r="H47" s="24">
        <f t="shared" si="12"/>
        <v>26.257650000000002</v>
      </c>
      <c r="I47" s="27"/>
      <c r="J47" s="38">
        <f t="shared" si="13"/>
        <v>0</v>
      </c>
    </row>
    <row r="48" spans="1:10" ht="24" customHeight="1">
      <c r="A48" s="337" t="s">
        <v>71</v>
      </c>
      <c r="B48" s="338"/>
      <c r="C48" s="338"/>
      <c r="D48" s="338"/>
      <c r="E48" s="338"/>
      <c r="F48" s="338"/>
      <c r="G48" s="338"/>
      <c r="H48" s="339"/>
      <c r="I48" s="26"/>
      <c r="J48" s="36"/>
    </row>
    <row r="49" spans="1:10" ht="24" customHeight="1">
      <c r="A49" s="37">
        <v>700019</v>
      </c>
      <c r="B49" s="7" t="s">
        <v>162</v>
      </c>
      <c r="C49" s="5">
        <v>45</v>
      </c>
      <c r="D49" s="5"/>
      <c r="E49" s="5"/>
      <c r="F49" s="21">
        <v>48.7</v>
      </c>
      <c r="G49" s="5">
        <v>3.5</v>
      </c>
      <c r="H49" s="24">
        <f>+F49*0.965</f>
        <v>46.9955</v>
      </c>
      <c r="I49" s="27"/>
      <c r="J49" s="40">
        <f>+I49*H49</f>
        <v>0</v>
      </c>
    </row>
    <row r="50" spans="1:10" ht="24" customHeight="1">
      <c r="A50" s="37">
        <v>916007</v>
      </c>
      <c r="B50" s="7" t="s">
        <v>211</v>
      </c>
      <c r="C50" s="5">
        <v>5.96</v>
      </c>
      <c r="D50" s="5"/>
      <c r="E50" s="5"/>
      <c r="F50" s="21">
        <v>6.45</v>
      </c>
      <c r="G50" s="5">
        <v>3.5</v>
      </c>
      <c r="H50" s="24">
        <f t="shared" ref="H50" si="14">F50*0.965</f>
        <v>6.2242499999999996</v>
      </c>
      <c r="I50" s="27"/>
      <c r="J50" s="38">
        <f t="shared" ref="J50" si="15">+I50*H50</f>
        <v>0</v>
      </c>
    </row>
    <row r="51" spans="1:10" ht="24" customHeight="1">
      <c r="A51" s="37">
        <v>917344</v>
      </c>
      <c r="B51" s="7" t="s">
        <v>315</v>
      </c>
      <c r="C51" s="5">
        <v>3.97</v>
      </c>
      <c r="D51" s="5"/>
      <c r="E51" s="5"/>
      <c r="F51" s="21">
        <v>4.3</v>
      </c>
      <c r="G51" s="5">
        <v>3.5</v>
      </c>
      <c r="H51" s="24">
        <f t="shared" ref="H51" si="16">F51*0.965</f>
        <v>4.1494999999999997</v>
      </c>
      <c r="I51" s="27"/>
      <c r="J51" s="38">
        <f t="shared" ref="J51" si="17">+I51*H51</f>
        <v>0</v>
      </c>
    </row>
    <row r="52" spans="1:10" ht="24" customHeight="1">
      <c r="A52" s="37">
        <v>873141</v>
      </c>
      <c r="B52" s="7" t="s">
        <v>143</v>
      </c>
      <c r="C52" s="5">
        <v>7.39</v>
      </c>
      <c r="D52" s="5"/>
      <c r="E52" s="5"/>
      <c r="F52" s="21">
        <v>8</v>
      </c>
      <c r="G52" s="5">
        <v>3.5</v>
      </c>
      <c r="H52" s="24">
        <f t="shared" ref="H52:H53" si="18">F52*0.965</f>
        <v>7.72</v>
      </c>
      <c r="I52" s="27"/>
      <c r="J52" s="38">
        <f t="shared" ref="J52:J69" si="19">+I52*H52</f>
        <v>0</v>
      </c>
    </row>
    <row r="53" spans="1:10" ht="24" customHeight="1">
      <c r="A53" s="37">
        <v>873166</v>
      </c>
      <c r="B53" s="7" t="s">
        <v>142</v>
      </c>
      <c r="C53" s="5">
        <v>26.39</v>
      </c>
      <c r="D53" s="5"/>
      <c r="E53" s="5"/>
      <c r="F53" s="21">
        <v>28.56</v>
      </c>
      <c r="G53" s="5">
        <v>3.5</v>
      </c>
      <c r="H53" s="24">
        <f t="shared" si="18"/>
        <v>27.560399999999998</v>
      </c>
      <c r="I53" s="27"/>
      <c r="J53" s="40">
        <f t="shared" si="19"/>
        <v>0</v>
      </c>
    </row>
    <row r="54" spans="1:10" ht="24" customHeight="1">
      <c r="A54" s="37">
        <v>826040</v>
      </c>
      <c r="B54" s="7" t="s">
        <v>72</v>
      </c>
      <c r="C54" s="5">
        <v>5.2</v>
      </c>
      <c r="D54" s="5"/>
      <c r="E54" s="5"/>
      <c r="F54" s="21">
        <v>5.63</v>
      </c>
      <c r="G54" s="5">
        <v>3.5</v>
      </c>
      <c r="H54" s="24">
        <f t="shared" ref="H54:H69" si="20">F54*0.965</f>
        <v>5.4329499999999999</v>
      </c>
      <c r="I54" s="27"/>
      <c r="J54" s="40">
        <f t="shared" si="19"/>
        <v>0</v>
      </c>
    </row>
    <row r="55" spans="1:10" ht="24" customHeight="1">
      <c r="A55" s="37">
        <v>660152</v>
      </c>
      <c r="B55" s="7" t="s">
        <v>73</v>
      </c>
      <c r="C55" s="5">
        <v>10.37</v>
      </c>
      <c r="D55" s="5"/>
      <c r="E55" s="5"/>
      <c r="F55" s="21">
        <v>11.23</v>
      </c>
      <c r="G55" s="5">
        <v>3.5</v>
      </c>
      <c r="H55" s="24">
        <f t="shared" si="20"/>
        <v>10.83695</v>
      </c>
      <c r="I55" s="27"/>
      <c r="J55" s="40">
        <f t="shared" si="19"/>
        <v>0</v>
      </c>
    </row>
    <row r="56" spans="1:10" ht="24" customHeight="1">
      <c r="A56" s="37">
        <v>704557</v>
      </c>
      <c r="B56" s="7" t="s">
        <v>197</v>
      </c>
      <c r="C56" s="5">
        <v>31.1</v>
      </c>
      <c r="D56" s="5"/>
      <c r="E56" s="5"/>
      <c r="F56" s="21">
        <v>33.659999999999997</v>
      </c>
      <c r="G56" s="5">
        <v>3.5</v>
      </c>
      <c r="H56" s="24">
        <f t="shared" si="20"/>
        <v>32.481899999999996</v>
      </c>
      <c r="I56" s="27"/>
      <c r="J56" s="40">
        <f t="shared" si="19"/>
        <v>0</v>
      </c>
    </row>
    <row r="57" spans="1:10" ht="24" hidden="1" customHeight="1">
      <c r="A57" s="37">
        <v>694633</v>
      </c>
      <c r="B57" s="7" t="s">
        <v>166</v>
      </c>
      <c r="C57" s="5">
        <v>10.75</v>
      </c>
      <c r="D57" s="5"/>
      <c r="E57" s="5"/>
      <c r="F57" s="21">
        <v>11.64</v>
      </c>
      <c r="G57" s="5">
        <v>3.5</v>
      </c>
      <c r="H57" s="24">
        <f t="shared" ref="H57:H59" si="21">F57*0.965</f>
        <v>11.2326</v>
      </c>
      <c r="I57" s="27"/>
      <c r="J57" s="40">
        <f t="shared" si="19"/>
        <v>0</v>
      </c>
    </row>
    <row r="58" spans="1:10" ht="24" customHeight="1">
      <c r="A58" s="37">
        <v>660856</v>
      </c>
      <c r="B58" s="7" t="s">
        <v>167</v>
      </c>
      <c r="C58" s="5">
        <v>19.989999999999998</v>
      </c>
      <c r="D58" s="5"/>
      <c r="E58" s="5"/>
      <c r="F58" s="21">
        <v>21.64</v>
      </c>
      <c r="G58" s="5">
        <v>3.5</v>
      </c>
      <c r="H58" s="24">
        <f t="shared" si="21"/>
        <v>20.8826</v>
      </c>
      <c r="I58" s="27"/>
      <c r="J58" s="40">
        <f t="shared" si="19"/>
        <v>0</v>
      </c>
    </row>
    <row r="59" spans="1:10" ht="24" customHeight="1">
      <c r="A59" s="37">
        <v>660857</v>
      </c>
      <c r="B59" s="7" t="s">
        <v>168</v>
      </c>
      <c r="C59" s="5">
        <v>39.99</v>
      </c>
      <c r="D59" s="5"/>
      <c r="E59" s="5"/>
      <c r="F59" s="21">
        <v>43.28</v>
      </c>
      <c r="G59" s="5">
        <v>3.5</v>
      </c>
      <c r="H59" s="24">
        <f t="shared" si="21"/>
        <v>41.7652</v>
      </c>
      <c r="I59" s="27"/>
      <c r="J59" s="40">
        <f t="shared" si="19"/>
        <v>0</v>
      </c>
    </row>
    <row r="60" spans="1:10" ht="24" customHeight="1">
      <c r="A60" s="37">
        <v>694632</v>
      </c>
      <c r="B60" s="7" t="s">
        <v>862</v>
      </c>
      <c r="C60" s="13">
        <v>5.38</v>
      </c>
      <c r="D60" s="5">
        <v>25</v>
      </c>
      <c r="E60" s="5">
        <f>+C60*0.75</f>
        <v>4.0350000000000001</v>
      </c>
      <c r="F60" s="5"/>
      <c r="G60" s="5"/>
      <c r="H60" s="24"/>
      <c r="I60" s="27"/>
      <c r="J60" s="40">
        <f>+I60*E60</f>
        <v>0</v>
      </c>
    </row>
    <row r="61" spans="1:10" ht="24" customHeight="1">
      <c r="A61" s="37">
        <v>714975</v>
      </c>
      <c r="B61" s="7" t="s">
        <v>832</v>
      </c>
      <c r="C61" s="5">
        <v>18.87</v>
      </c>
      <c r="D61" s="5"/>
      <c r="E61" s="5"/>
      <c r="F61" s="21">
        <v>20.420000000000002</v>
      </c>
      <c r="G61" s="5">
        <v>3.5</v>
      </c>
      <c r="H61" s="24">
        <f t="shared" ref="H61:H63" si="22">F61*0.965</f>
        <v>19.705300000000001</v>
      </c>
      <c r="I61" s="27"/>
      <c r="J61" s="40">
        <f t="shared" ref="J61:J63" si="23">+I61*H61</f>
        <v>0</v>
      </c>
    </row>
    <row r="62" spans="1:10" ht="24" customHeight="1">
      <c r="A62" s="37">
        <v>714973</v>
      </c>
      <c r="B62" s="7" t="s">
        <v>833</v>
      </c>
      <c r="C62" s="5">
        <v>14.27</v>
      </c>
      <c r="D62" s="5"/>
      <c r="E62" s="5"/>
      <c r="F62" s="21">
        <v>15.44</v>
      </c>
      <c r="G62" s="5">
        <v>3.5</v>
      </c>
      <c r="H62" s="24">
        <f t="shared" si="22"/>
        <v>14.8996</v>
      </c>
      <c r="I62" s="27"/>
      <c r="J62" s="40">
        <f t="shared" si="23"/>
        <v>0</v>
      </c>
    </row>
    <row r="63" spans="1:10" ht="24" customHeight="1">
      <c r="A63" s="37">
        <v>714974</v>
      </c>
      <c r="B63" s="7" t="s">
        <v>834</v>
      </c>
      <c r="C63" s="5">
        <v>15.77</v>
      </c>
      <c r="D63" s="5"/>
      <c r="E63" s="5"/>
      <c r="F63" s="21">
        <v>17.07</v>
      </c>
      <c r="G63" s="5">
        <v>3.5</v>
      </c>
      <c r="H63" s="24">
        <f t="shared" si="22"/>
        <v>16.472549999999998</v>
      </c>
      <c r="I63" s="27"/>
      <c r="J63" s="40">
        <f t="shared" si="23"/>
        <v>0</v>
      </c>
    </row>
    <row r="64" spans="1:10" ht="24" customHeight="1">
      <c r="A64" s="37">
        <v>661529</v>
      </c>
      <c r="B64" s="7" t="s">
        <v>74</v>
      </c>
      <c r="C64" s="5">
        <v>21.63</v>
      </c>
      <c r="D64" s="5"/>
      <c r="E64" s="5"/>
      <c r="F64" s="21">
        <v>23.41</v>
      </c>
      <c r="G64" s="5">
        <v>3.5</v>
      </c>
      <c r="H64" s="24">
        <f t="shared" si="20"/>
        <v>22.59065</v>
      </c>
      <c r="I64" s="27"/>
      <c r="J64" s="40">
        <f t="shared" si="19"/>
        <v>0</v>
      </c>
    </row>
    <row r="65" spans="1:10" ht="24" customHeight="1">
      <c r="A65" s="37"/>
      <c r="B65" s="7" t="s">
        <v>659</v>
      </c>
      <c r="C65" s="5">
        <v>21.63</v>
      </c>
      <c r="D65" s="5"/>
      <c r="E65" s="5"/>
      <c r="F65" s="21">
        <v>23.41</v>
      </c>
      <c r="G65" s="5">
        <v>4.5</v>
      </c>
      <c r="H65" s="24">
        <f>F65*0.955</f>
        <v>22.356549999999999</v>
      </c>
      <c r="I65" s="27"/>
      <c r="J65" s="40">
        <f t="shared" ref="J65:J68" si="24">+I65*H65</f>
        <v>0</v>
      </c>
    </row>
    <row r="66" spans="1:10" ht="24" customHeight="1">
      <c r="A66" s="37">
        <v>651527</v>
      </c>
      <c r="B66" s="7" t="s">
        <v>829</v>
      </c>
      <c r="C66" s="5">
        <v>3.11</v>
      </c>
      <c r="D66" s="5"/>
      <c r="E66" s="5"/>
      <c r="F66" s="21">
        <v>3.37</v>
      </c>
      <c r="G66" s="5">
        <v>3.5</v>
      </c>
      <c r="H66" s="24">
        <f t="shared" ref="H66:H68" si="25">F66*0.965</f>
        <v>3.2520500000000001</v>
      </c>
      <c r="I66" s="27"/>
      <c r="J66" s="40">
        <f t="shared" si="24"/>
        <v>0</v>
      </c>
    </row>
    <row r="67" spans="1:10" ht="24" customHeight="1">
      <c r="A67" s="37">
        <v>651531</v>
      </c>
      <c r="B67" s="7" t="s">
        <v>830</v>
      </c>
      <c r="C67" s="5">
        <v>12.43</v>
      </c>
      <c r="D67" s="5"/>
      <c r="E67" s="5"/>
      <c r="F67" s="21">
        <v>13.45</v>
      </c>
      <c r="G67" s="5">
        <v>3.5</v>
      </c>
      <c r="H67" s="24">
        <f t="shared" si="25"/>
        <v>12.979249999999999</v>
      </c>
      <c r="I67" s="27"/>
      <c r="J67" s="40">
        <f t="shared" si="24"/>
        <v>0</v>
      </c>
    </row>
    <row r="68" spans="1:10" ht="24" customHeight="1">
      <c r="A68" s="37">
        <v>651529</v>
      </c>
      <c r="B68" s="7" t="s">
        <v>831</v>
      </c>
      <c r="C68" s="5">
        <v>49.7</v>
      </c>
      <c r="D68" s="5"/>
      <c r="E68" s="5"/>
      <c r="F68" s="21">
        <v>53.79</v>
      </c>
      <c r="G68" s="5">
        <v>3.5</v>
      </c>
      <c r="H68" s="24">
        <f t="shared" si="25"/>
        <v>51.907350000000001</v>
      </c>
      <c r="I68" s="27"/>
      <c r="J68" s="40">
        <f t="shared" si="24"/>
        <v>0</v>
      </c>
    </row>
    <row r="69" spans="1:10" ht="24" customHeight="1">
      <c r="A69" s="37">
        <v>700570</v>
      </c>
      <c r="B69" s="7" t="s">
        <v>216</v>
      </c>
      <c r="C69" s="5">
        <v>1.56</v>
      </c>
      <c r="D69" s="5"/>
      <c r="E69" s="5"/>
      <c r="F69" s="22">
        <v>1.69</v>
      </c>
      <c r="G69" s="5">
        <v>3.5</v>
      </c>
      <c r="H69" s="24">
        <f t="shared" si="20"/>
        <v>1.6308499999999999</v>
      </c>
      <c r="I69" s="27"/>
      <c r="J69" s="38">
        <f t="shared" si="19"/>
        <v>0</v>
      </c>
    </row>
    <row r="70" spans="1:10" ht="24" customHeight="1">
      <c r="A70" s="337" t="s">
        <v>402</v>
      </c>
      <c r="B70" s="338"/>
      <c r="C70" s="338"/>
      <c r="D70" s="338"/>
      <c r="E70" s="338"/>
      <c r="F70" s="338"/>
      <c r="G70" s="338"/>
      <c r="H70" s="339"/>
      <c r="I70" s="26"/>
      <c r="J70" s="36"/>
    </row>
    <row r="71" spans="1:10" ht="24" customHeight="1">
      <c r="A71" s="37">
        <v>653346</v>
      </c>
      <c r="B71" s="7" t="s">
        <v>403</v>
      </c>
      <c r="C71" s="13">
        <v>8.33</v>
      </c>
      <c r="D71" s="5"/>
      <c r="E71" s="5">
        <f>+C71</f>
        <v>8.33</v>
      </c>
      <c r="F71" s="5"/>
      <c r="G71" s="5"/>
      <c r="H71" s="24"/>
      <c r="I71" s="27"/>
      <c r="J71" s="40">
        <f t="shared" ref="J71:J72" si="26">+I71*E71</f>
        <v>0</v>
      </c>
    </row>
    <row r="72" spans="1:10" ht="24" customHeight="1">
      <c r="A72" s="37">
        <v>988881</v>
      </c>
      <c r="B72" s="7" t="s">
        <v>404</v>
      </c>
      <c r="C72" s="13">
        <v>2.78</v>
      </c>
      <c r="D72" s="5"/>
      <c r="E72" s="5">
        <f>+C72</f>
        <v>2.78</v>
      </c>
      <c r="F72" s="5"/>
      <c r="G72" s="5"/>
      <c r="H72" s="24"/>
      <c r="I72" s="27"/>
      <c r="J72" s="40">
        <f t="shared" si="26"/>
        <v>0</v>
      </c>
    </row>
    <row r="73" spans="1:10" ht="24" customHeight="1">
      <c r="A73" s="337" t="s">
        <v>324</v>
      </c>
      <c r="B73" s="338"/>
      <c r="C73" s="338"/>
      <c r="D73" s="338"/>
      <c r="E73" s="338"/>
      <c r="F73" s="338"/>
      <c r="G73" s="338"/>
      <c r="H73" s="339"/>
      <c r="I73" s="26"/>
      <c r="J73" s="36"/>
    </row>
    <row r="74" spans="1:10" ht="24" customHeight="1">
      <c r="A74" s="37">
        <v>662979</v>
      </c>
      <c r="B74" s="7" t="s">
        <v>325</v>
      </c>
      <c r="C74" s="5">
        <v>75.989999999999995</v>
      </c>
      <c r="D74" s="5"/>
      <c r="E74" s="5"/>
      <c r="F74" s="21">
        <v>82.24</v>
      </c>
      <c r="G74" s="5">
        <v>3.5</v>
      </c>
      <c r="H74" s="24">
        <f>+F74*0.965</f>
        <v>79.361599999999996</v>
      </c>
      <c r="I74" s="27"/>
      <c r="J74" s="40">
        <f>+I74*H74</f>
        <v>0</v>
      </c>
    </row>
    <row r="75" spans="1:10" ht="24" customHeight="1">
      <c r="A75" s="37">
        <v>656774</v>
      </c>
      <c r="B75" s="7" t="s">
        <v>326</v>
      </c>
      <c r="C75" s="5">
        <v>27.68</v>
      </c>
      <c r="D75" s="5"/>
      <c r="E75" s="5"/>
      <c r="F75" s="21">
        <v>29.96</v>
      </c>
      <c r="G75" s="5">
        <v>3.5</v>
      </c>
      <c r="H75" s="24">
        <f t="shared" ref="H75:H83" si="27">+F75*0.965</f>
        <v>28.9114</v>
      </c>
      <c r="I75" s="27"/>
      <c r="J75" s="40">
        <f t="shared" ref="J75:J83" si="28">+I75*H75</f>
        <v>0</v>
      </c>
    </row>
    <row r="76" spans="1:10" ht="24" customHeight="1">
      <c r="A76" s="37">
        <v>707739</v>
      </c>
      <c r="B76" s="7" t="s">
        <v>489</v>
      </c>
      <c r="C76" s="5">
        <v>14.76</v>
      </c>
      <c r="D76" s="5"/>
      <c r="E76" s="5"/>
      <c r="F76" s="21">
        <v>15.98</v>
      </c>
      <c r="G76" s="5">
        <v>3.5</v>
      </c>
      <c r="H76" s="24">
        <f t="shared" ref="H76" si="29">+F76*0.965</f>
        <v>15.4207</v>
      </c>
      <c r="I76" s="27"/>
      <c r="J76" s="40">
        <f t="shared" ref="J76" si="30">+I76*H76</f>
        <v>0</v>
      </c>
    </row>
    <row r="77" spans="1:10" ht="24" customHeight="1">
      <c r="A77" s="37">
        <v>697408</v>
      </c>
      <c r="B77" s="7" t="s">
        <v>327</v>
      </c>
      <c r="C77" s="5">
        <v>57.18</v>
      </c>
      <c r="D77" s="5"/>
      <c r="E77" s="5"/>
      <c r="F77" s="21">
        <v>61.88</v>
      </c>
      <c r="G77" s="5">
        <v>3.5</v>
      </c>
      <c r="H77" s="24">
        <f t="shared" si="27"/>
        <v>59.714199999999998</v>
      </c>
      <c r="I77" s="27"/>
      <c r="J77" s="40">
        <f t="shared" si="28"/>
        <v>0</v>
      </c>
    </row>
    <row r="78" spans="1:10" ht="24" customHeight="1">
      <c r="A78" s="37">
        <v>726213</v>
      </c>
      <c r="B78" s="7" t="s">
        <v>414</v>
      </c>
      <c r="C78" s="5">
        <v>68.62</v>
      </c>
      <c r="D78" s="5"/>
      <c r="E78" s="5"/>
      <c r="F78" s="21">
        <v>74.260000000000005</v>
      </c>
      <c r="G78" s="5">
        <v>3.5</v>
      </c>
      <c r="H78" s="24">
        <f t="shared" ref="H78" si="31">+F78*0.965</f>
        <v>71.660899999999998</v>
      </c>
      <c r="I78" s="27"/>
      <c r="J78" s="40">
        <f t="shared" ref="J78" si="32">+I78*H78</f>
        <v>0</v>
      </c>
    </row>
    <row r="79" spans="1:10" ht="24" customHeight="1">
      <c r="A79" s="37">
        <v>813576</v>
      </c>
      <c r="B79" s="7" t="s">
        <v>328</v>
      </c>
      <c r="C79" s="5">
        <v>50.3</v>
      </c>
      <c r="D79" s="5"/>
      <c r="E79" s="5"/>
      <c r="F79" s="21">
        <v>54.44</v>
      </c>
      <c r="G79" s="5">
        <v>3.5</v>
      </c>
      <c r="H79" s="24">
        <f t="shared" si="27"/>
        <v>52.534599999999998</v>
      </c>
      <c r="I79" s="27"/>
      <c r="J79" s="40">
        <f t="shared" si="28"/>
        <v>0</v>
      </c>
    </row>
    <row r="80" spans="1:10" ht="24" customHeight="1">
      <c r="A80" s="37">
        <v>656056</v>
      </c>
      <c r="B80" s="7" t="s">
        <v>342</v>
      </c>
      <c r="C80" s="5">
        <v>50.3</v>
      </c>
      <c r="D80" s="5"/>
      <c r="E80" s="5"/>
      <c r="F80" s="21">
        <v>54.44</v>
      </c>
      <c r="G80" s="5">
        <v>3.5</v>
      </c>
      <c r="H80" s="24">
        <f t="shared" ref="H80" si="33">+F80*0.965</f>
        <v>52.534599999999998</v>
      </c>
      <c r="I80" s="27"/>
      <c r="J80" s="40">
        <f t="shared" ref="J80" si="34">+I80*H80</f>
        <v>0</v>
      </c>
    </row>
    <row r="81" spans="1:10" ht="24" customHeight="1">
      <c r="A81" s="37">
        <v>656773</v>
      </c>
      <c r="B81" s="7" t="s">
        <v>329</v>
      </c>
      <c r="C81" s="5">
        <v>31.26</v>
      </c>
      <c r="D81" s="5"/>
      <c r="E81" s="5"/>
      <c r="F81" s="21">
        <v>33.83</v>
      </c>
      <c r="G81" s="5">
        <v>3.5</v>
      </c>
      <c r="H81" s="24">
        <f t="shared" si="27"/>
        <v>32.645949999999999</v>
      </c>
      <c r="I81" s="27"/>
      <c r="J81" s="40">
        <f t="shared" si="28"/>
        <v>0</v>
      </c>
    </row>
    <row r="82" spans="1:10" ht="24" customHeight="1">
      <c r="A82" s="37">
        <v>661527</v>
      </c>
      <c r="B82" s="7" t="s">
        <v>329</v>
      </c>
      <c r="C82" s="5">
        <v>31.26</v>
      </c>
      <c r="D82" s="5"/>
      <c r="E82" s="5"/>
      <c r="F82" s="21">
        <v>33.83</v>
      </c>
      <c r="G82" s="5">
        <v>3.5</v>
      </c>
      <c r="H82" s="24">
        <f t="shared" ref="H82" si="35">+F82*0.965</f>
        <v>32.645949999999999</v>
      </c>
      <c r="I82" s="27"/>
      <c r="J82" s="40">
        <f t="shared" ref="J82" si="36">+I82*H82</f>
        <v>0</v>
      </c>
    </row>
    <row r="83" spans="1:10" ht="24" customHeight="1">
      <c r="A83" s="37">
        <v>776427</v>
      </c>
      <c r="B83" s="7" t="s">
        <v>330</v>
      </c>
      <c r="C83" s="5">
        <v>24.36</v>
      </c>
      <c r="D83" s="5"/>
      <c r="E83" s="5"/>
      <c r="F83" s="21">
        <v>26.37</v>
      </c>
      <c r="G83" s="5">
        <v>3.5</v>
      </c>
      <c r="H83" s="24">
        <f t="shared" si="27"/>
        <v>25.447050000000001</v>
      </c>
      <c r="I83" s="27"/>
      <c r="J83" s="40">
        <f t="shared" si="28"/>
        <v>0</v>
      </c>
    </row>
    <row r="84" spans="1:10" ht="24" customHeight="1">
      <c r="A84" s="37">
        <v>777268</v>
      </c>
      <c r="B84" s="7" t="s">
        <v>332</v>
      </c>
      <c r="C84" s="5">
        <v>24.36</v>
      </c>
      <c r="D84" s="5"/>
      <c r="E84" s="5"/>
      <c r="F84" s="21">
        <v>26.37</v>
      </c>
      <c r="G84" s="5">
        <v>3.5</v>
      </c>
      <c r="H84" s="24">
        <f t="shared" ref="H84:H97" si="37">+F84*0.965</f>
        <v>25.447050000000001</v>
      </c>
      <c r="I84" s="27"/>
      <c r="J84" s="40">
        <f t="shared" ref="J84:J97" si="38">+I84*H84</f>
        <v>0</v>
      </c>
    </row>
    <row r="85" spans="1:10" ht="24" customHeight="1">
      <c r="A85" s="37">
        <v>775536</v>
      </c>
      <c r="B85" s="7" t="s">
        <v>333</v>
      </c>
      <c r="C85" s="5">
        <v>23.35</v>
      </c>
      <c r="D85" s="5"/>
      <c r="E85" s="5"/>
      <c r="F85" s="21">
        <v>25.27</v>
      </c>
      <c r="G85" s="5">
        <v>3.5</v>
      </c>
      <c r="H85" s="24">
        <f t="shared" si="37"/>
        <v>24.385549999999999</v>
      </c>
      <c r="I85" s="27"/>
      <c r="J85" s="40">
        <f t="shared" si="38"/>
        <v>0</v>
      </c>
    </row>
    <row r="86" spans="1:10" ht="24" customHeight="1">
      <c r="A86" s="37">
        <v>965616</v>
      </c>
      <c r="B86" s="7" t="s">
        <v>334</v>
      </c>
      <c r="C86" s="5">
        <v>13.75</v>
      </c>
      <c r="D86" s="5"/>
      <c r="E86" s="5"/>
      <c r="F86" s="21">
        <v>14.88</v>
      </c>
      <c r="G86" s="5">
        <v>3.5</v>
      </c>
      <c r="H86" s="24">
        <f t="shared" si="37"/>
        <v>14.3592</v>
      </c>
      <c r="I86" s="27"/>
      <c r="J86" s="40">
        <f t="shared" si="38"/>
        <v>0</v>
      </c>
    </row>
    <row r="87" spans="1:10" ht="24" customHeight="1">
      <c r="A87" s="37">
        <v>715550</v>
      </c>
      <c r="B87" s="7" t="s">
        <v>352</v>
      </c>
      <c r="C87" s="5">
        <v>27.68</v>
      </c>
      <c r="D87" s="5"/>
      <c r="E87" s="5"/>
      <c r="F87" s="21">
        <v>29.96</v>
      </c>
      <c r="G87" s="5">
        <v>3.5</v>
      </c>
      <c r="H87" s="24">
        <f t="shared" ref="H87:H90" si="39">+F87*0.965</f>
        <v>28.9114</v>
      </c>
      <c r="I87" s="27"/>
      <c r="J87" s="40">
        <f t="shared" ref="J87:J91" si="40">+I87*H87</f>
        <v>0</v>
      </c>
    </row>
    <row r="88" spans="1:10" ht="24" customHeight="1">
      <c r="A88" s="37">
        <v>723345</v>
      </c>
      <c r="B88" s="7" t="s">
        <v>353</v>
      </c>
      <c r="C88" s="5">
        <v>84.88</v>
      </c>
      <c r="D88" s="5"/>
      <c r="E88" s="5"/>
      <c r="F88" s="21">
        <v>91.86</v>
      </c>
      <c r="G88" s="5">
        <v>3.5</v>
      </c>
      <c r="H88" s="24">
        <f t="shared" si="39"/>
        <v>88.644899999999993</v>
      </c>
      <c r="I88" s="27"/>
      <c r="J88" s="40">
        <f t="shared" si="40"/>
        <v>0</v>
      </c>
    </row>
    <row r="89" spans="1:10" ht="24" customHeight="1">
      <c r="A89" s="37">
        <v>723346</v>
      </c>
      <c r="B89" s="7" t="s">
        <v>354</v>
      </c>
      <c r="C89" s="5">
        <v>84.88</v>
      </c>
      <c r="D89" s="5"/>
      <c r="E89" s="5"/>
      <c r="F89" s="21">
        <v>91.86</v>
      </c>
      <c r="G89" s="5">
        <v>3.5</v>
      </c>
      <c r="H89" s="24">
        <f t="shared" si="39"/>
        <v>88.644899999999993</v>
      </c>
      <c r="I89" s="27"/>
      <c r="J89" s="40">
        <f t="shared" si="40"/>
        <v>0</v>
      </c>
    </row>
    <row r="90" spans="1:10" ht="24" customHeight="1">
      <c r="A90" s="37">
        <v>723347</v>
      </c>
      <c r="B90" s="7" t="s">
        <v>355</v>
      </c>
      <c r="C90" s="5">
        <v>84.88</v>
      </c>
      <c r="D90" s="5"/>
      <c r="E90" s="5"/>
      <c r="F90" s="21">
        <v>91.86</v>
      </c>
      <c r="G90" s="5">
        <v>3.5</v>
      </c>
      <c r="H90" s="24">
        <f t="shared" si="39"/>
        <v>88.644899999999993</v>
      </c>
      <c r="I90" s="27"/>
      <c r="J90" s="40">
        <f t="shared" si="40"/>
        <v>0</v>
      </c>
    </row>
    <row r="91" spans="1:10" ht="24" customHeight="1">
      <c r="A91" s="37">
        <v>710663</v>
      </c>
      <c r="B91" s="7" t="s">
        <v>475</v>
      </c>
      <c r="C91" s="5">
        <v>221.25</v>
      </c>
      <c r="D91" s="5"/>
      <c r="E91" s="5"/>
      <c r="F91" s="21">
        <v>228.79</v>
      </c>
      <c r="G91" s="5">
        <v>2</v>
      </c>
      <c r="H91" s="24">
        <f>+F91*0.98</f>
        <v>224.21419999999998</v>
      </c>
      <c r="I91" s="27"/>
      <c r="J91" s="40">
        <f t="shared" si="40"/>
        <v>0</v>
      </c>
    </row>
    <row r="92" spans="1:10" ht="24" customHeight="1">
      <c r="A92" s="37">
        <v>724999</v>
      </c>
      <c r="B92" s="7" t="s">
        <v>677</v>
      </c>
      <c r="C92" s="5">
        <v>132.75</v>
      </c>
      <c r="D92" s="5">
        <v>0</v>
      </c>
      <c r="E92" s="5"/>
      <c r="F92" s="21">
        <v>140.29</v>
      </c>
      <c r="G92" s="5">
        <v>2</v>
      </c>
      <c r="H92" s="24">
        <f>+F92*0.98</f>
        <v>137.48419999999999</v>
      </c>
      <c r="I92" s="27"/>
      <c r="J92" s="40">
        <f t="shared" ref="J92" si="41">+I92*H92</f>
        <v>0</v>
      </c>
    </row>
    <row r="93" spans="1:10" ht="24" customHeight="1">
      <c r="A93" s="37">
        <v>728315</v>
      </c>
      <c r="B93" s="7" t="s">
        <v>763</v>
      </c>
      <c r="C93" s="5">
        <v>85.05</v>
      </c>
      <c r="D93" s="5">
        <v>0</v>
      </c>
      <c r="E93" s="5"/>
      <c r="F93" s="21">
        <v>92.04</v>
      </c>
      <c r="G93" s="5">
        <v>3.5</v>
      </c>
      <c r="H93" s="24">
        <f t="shared" ref="H93:H95" si="42">+F93*0.965</f>
        <v>88.818600000000004</v>
      </c>
      <c r="I93" s="27"/>
      <c r="J93" s="40">
        <f t="shared" ref="J93:J95" si="43">+I93*H93</f>
        <v>0</v>
      </c>
    </row>
    <row r="94" spans="1:10" ht="24" customHeight="1">
      <c r="A94" s="37">
        <v>728316</v>
      </c>
      <c r="B94" s="7" t="s">
        <v>764</v>
      </c>
      <c r="C94" s="5">
        <v>85.05</v>
      </c>
      <c r="D94" s="5">
        <v>0</v>
      </c>
      <c r="E94" s="5"/>
      <c r="F94" s="21">
        <v>92.04</v>
      </c>
      <c r="G94" s="5">
        <v>3.5</v>
      </c>
      <c r="H94" s="24">
        <f t="shared" si="42"/>
        <v>88.818600000000004</v>
      </c>
      <c r="I94" s="27"/>
      <c r="J94" s="40">
        <f t="shared" si="43"/>
        <v>0</v>
      </c>
    </row>
    <row r="95" spans="1:10" ht="24" customHeight="1">
      <c r="A95" s="37">
        <v>728317</v>
      </c>
      <c r="B95" s="7" t="s">
        <v>765</v>
      </c>
      <c r="C95" s="5">
        <v>85.05</v>
      </c>
      <c r="D95" s="5">
        <v>0</v>
      </c>
      <c r="E95" s="5"/>
      <c r="F95" s="21">
        <v>92.04</v>
      </c>
      <c r="G95" s="5">
        <v>3.5</v>
      </c>
      <c r="H95" s="24">
        <f t="shared" si="42"/>
        <v>88.818600000000004</v>
      </c>
      <c r="I95" s="27"/>
      <c r="J95" s="40">
        <f t="shared" si="43"/>
        <v>0</v>
      </c>
    </row>
    <row r="96" spans="1:10" ht="24" customHeight="1">
      <c r="A96" s="37">
        <v>718635</v>
      </c>
      <c r="B96" s="7" t="s">
        <v>343</v>
      </c>
      <c r="C96" s="5">
        <v>7.16</v>
      </c>
      <c r="D96" s="5"/>
      <c r="E96" s="5"/>
      <c r="F96" s="21">
        <v>7.75</v>
      </c>
      <c r="G96" s="5">
        <v>3.5</v>
      </c>
      <c r="H96" s="24">
        <f t="shared" si="37"/>
        <v>7.4787499999999998</v>
      </c>
      <c r="I96" s="27"/>
      <c r="J96" s="40">
        <f t="shared" si="38"/>
        <v>0</v>
      </c>
    </row>
    <row r="97" spans="1:10" ht="24" customHeight="1">
      <c r="A97" s="37">
        <v>717769</v>
      </c>
      <c r="B97" s="7" t="s">
        <v>344</v>
      </c>
      <c r="C97" s="5">
        <v>3.58</v>
      </c>
      <c r="D97" s="5"/>
      <c r="E97" s="5"/>
      <c r="F97" s="21">
        <v>3.87</v>
      </c>
      <c r="G97" s="5">
        <v>3.5</v>
      </c>
      <c r="H97" s="24">
        <f t="shared" si="37"/>
        <v>3.73455</v>
      </c>
      <c r="I97" s="27"/>
      <c r="J97" s="40">
        <f t="shared" si="38"/>
        <v>0</v>
      </c>
    </row>
    <row r="98" spans="1:10" ht="24" customHeight="1">
      <c r="A98" s="340" t="s">
        <v>209</v>
      </c>
      <c r="B98" s="341"/>
      <c r="C98" s="341"/>
      <c r="D98" s="341"/>
      <c r="E98" s="341"/>
      <c r="F98" s="341"/>
      <c r="G98" s="341"/>
      <c r="H98" s="341"/>
      <c r="I98" s="28"/>
      <c r="J98" s="41"/>
    </row>
    <row r="99" spans="1:10" ht="24" customHeight="1">
      <c r="A99" s="37">
        <v>152834</v>
      </c>
      <c r="B99" s="4" t="s">
        <v>206</v>
      </c>
      <c r="C99" s="13">
        <v>7.84</v>
      </c>
      <c r="D99" s="5">
        <v>9</v>
      </c>
      <c r="E99" s="5">
        <f>+C99*0.91</f>
        <v>7.1344000000000003</v>
      </c>
      <c r="F99" s="5"/>
      <c r="G99" s="5"/>
      <c r="H99" s="24">
        <f t="shared" ref="H99" si="44">F99*0.965</f>
        <v>0</v>
      </c>
      <c r="I99" s="27"/>
      <c r="J99" s="40">
        <f t="shared" ref="J99:J103" si="45">+I99*E99</f>
        <v>0</v>
      </c>
    </row>
    <row r="100" spans="1:10" ht="24" customHeight="1">
      <c r="A100" s="37">
        <v>152836</v>
      </c>
      <c r="B100" s="4" t="s">
        <v>207</v>
      </c>
      <c r="C100" s="13">
        <v>7.84</v>
      </c>
      <c r="D100" s="5">
        <v>9</v>
      </c>
      <c r="E100" s="5">
        <f>+C100*0.91</f>
        <v>7.1344000000000003</v>
      </c>
      <c r="F100" s="5"/>
      <c r="G100" s="5"/>
      <c r="H100" s="24"/>
      <c r="I100" s="27"/>
      <c r="J100" s="40">
        <f t="shared" si="45"/>
        <v>0</v>
      </c>
    </row>
    <row r="101" spans="1:10" ht="24" customHeight="1">
      <c r="A101" s="37">
        <v>219998</v>
      </c>
      <c r="B101" s="4" t="s">
        <v>376</v>
      </c>
      <c r="C101" s="13">
        <v>5.38</v>
      </c>
      <c r="D101" s="5">
        <v>9</v>
      </c>
      <c r="E101" s="5">
        <f>+C101*0.91</f>
        <v>4.8958000000000004</v>
      </c>
      <c r="F101" s="5"/>
      <c r="G101" s="5"/>
      <c r="H101" s="24">
        <f t="shared" ref="H101:H102" si="46">F101*0.965</f>
        <v>0</v>
      </c>
      <c r="I101" s="27"/>
      <c r="J101" s="40">
        <f t="shared" si="45"/>
        <v>0</v>
      </c>
    </row>
    <row r="102" spans="1:10" ht="24" customHeight="1">
      <c r="A102" s="37">
        <v>220004</v>
      </c>
      <c r="B102" s="4" t="s">
        <v>377</v>
      </c>
      <c r="C102" s="13">
        <v>5.38</v>
      </c>
      <c r="D102" s="5">
        <v>9</v>
      </c>
      <c r="E102" s="5">
        <f>+C102*0.91</f>
        <v>4.8958000000000004</v>
      </c>
      <c r="F102" s="5"/>
      <c r="G102" s="5"/>
      <c r="H102" s="24">
        <f t="shared" si="46"/>
        <v>0</v>
      </c>
      <c r="I102" s="27"/>
      <c r="J102" s="40">
        <f t="shared" si="45"/>
        <v>0</v>
      </c>
    </row>
    <row r="103" spans="1:10" ht="24" customHeight="1">
      <c r="A103" s="37">
        <v>195842</v>
      </c>
      <c r="B103" s="4" t="s">
        <v>621</v>
      </c>
      <c r="C103" s="13">
        <v>5.37</v>
      </c>
      <c r="D103" s="5">
        <v>9</v>
      </c>
      <c r="E103" s="5">
        <f>+C103*0.91</f>
        <v>4.8867000000000003</v>
      </c>
      <c r="F103" s="5"/>
      <c r="G103" s="5"/>
      <c r="H103" s="24"/>
      <c r="I103" s="27"/>
      <c r="J103" s="40">
        <f t="shared" si="45"/>
        <v>0</v>
      </c>
    </row>
    <row r="104" spans="1:10" ht="24" customHeight="1">
      <c r="A104" s="337" t="s">
        <v>234</v>
      </c>
      <c r="B104" s="338"/>
      <c r="C104" s="338"/>
      <c r="D104" s="338"/>
      <c r="E104" s="338"/>
      <c r="F104" s="338"/>
      <c r="G104" s="338"/>
      <c r="H104" s="339"/>
      <c r="I104" s="27"/>
      <c r="J104" s="36"/>
    </row>
    <row r="105" spans="1:10" ht="24" customHeight="1">
      <c r="A105" s="37">
        <v>959817</v>
      </c>
      <c r="B105" s="4" t="s">
        <v>57</v>
      </c>
      <c r="C105" s="5">
        <v>10.26</v>
      </c>
      <c r="D105" s="5"/>
      <c r="E105" s="5"/>
      <c r="F105" s="21">
        <v>11.1</v>
      </c>
      <c r="G105" s="5">
        <v>3.5</v>
      </c>
      <c r="H105" s="24">
        <f t="shared" ref="H105:H116" si="47">F105*0.965</f>
        <v>10.711499999999999</v>
      </c>
      <c r="I105" s="27"/>
      <c r="J105" s="40">
        <f>I105*H105</f>
        <v>0</v>
      </c>
    </row>
    <row r="106" spans="1:10" ht="24" customHeight="1">
      <c r="A106" s="37">
        <v>654402</v>
      </c>
      <c r="B106" s="4" t="s">
        <v>58</v>
      </c>
      <c r="C106" s="5">
        <v>5.93</v>
      </c>
      <c r="D106" s="5"/>
      <c r="E106" s="5"/>
      <c r="F106" s="21">
        <v>6.42</v>
      </c>
      <c r="G106" s="5">
        <v>3.5</v>
      </c>
      <c r="H106" s="24">
        <f t="shared" si="47"/>
        <v>6.1952999999999996</v>
      </c>
      <c r="I106" s="27"/>
      <c r="J106" s="40">
        <f t="shared" ref="J106:J116" si="48">I106*H106</f>
        <v>0</v>
      </c>
    </row>
    <row r="107" spans="1:10" ht="24" customHeight="1">
      <c r="A107" s="37">
        <v>672138</v>
      </c>
      <c r="B107" s="4" t="s">
        <v>59</v>
      </c>
      <c r="C107" s="5">
        <v>10.98</v>
      </c>
      <c r="D107" s="5"/>
      <c r="E107" s="5"/>
      <c r="F107" s="21">
        <v>11.88</v>
      </c>
      <c r="G107" s="5">
        <v>3.5</v>
      </c>
      <c r="H107" s="24">
        <f t="shared" si="47"/>
        <v>11.4642</v>
      </c>
      <c r="I107" s="27"/>
      <c r="J107" s="38">
        <f t="shared" si="48"/>
        <v>0</v>
      </c>
    </row>
    <row r="108" spans="1:10" ht="24" customHeight="1">
      <c r="A108" s="37">
        <v>848226</v>
      </c>
      <c r="B108" s="4" t="s">
        <v>60</v>
      </c>
      <c r="C108" s="5">
        <v>4.9000000000000004</v>
      </c>
      <c r="D108" s="5"/>
      <c r="E108" s="5"/>
      <c r="F108" s="21">
        <v>5.31</v>
      </c>
      <c r="G108" s="5">
        <v>3.5</v>
      </c>
      <c r="H108" s="24">
        <f t="shared" si="47"/>
        <v>5.1241499999999993</v>
      </c>
      <c r="I108" s="27"/>
      <c r="J108" s="38">
        <f t="shared" si="48"/>
        <v>0</v>
      </c>
    </row>
    <row r="109" spans="1:10" ht="24" customHeight="1">
      <c r="A109" s="37">
        <v>675256</v>
      </c>
      <c r="B109" s="4" t="s">
        <v>61</v>
      </c>
      <c r="C109" s="5">
        <v>4.88</v>
      </c>
      <c r="D109" s="5"/>
      <c r="E109" s="5"/>
      <c r="F109" s="21">
        <v>5.28</v>
      </c>
      <c r="G109" s="5">
        <v>3.5</v>
      </c>
      <c r="H109" s="24">
        <f t="shared" si="47"/>
        <v>5.0952000000000002</v>
      </c>
      <c r="I109" s="27"/>
      <c r="J109" s="38">
        <f t="shared" si="48"/>
        <v>0</v>
      </c>
    </row>
    <row r="110" spans="1:10" ht="24" customHeight="1">
      <c r="A110" s="37">
        <v>703483</v>
      </c>
      <c r="B110" s="4" t="s">
        <v>138</v>
      </c>
      <c r="C110" s="5">
        <v>11.57</v>
      </c>
      <c r="D110" s="5"/>
      <c r="E110" s="5"/>
      <c r="F110" s="21">
        <v>12.52</v>
      </c>
      <c r="G110" s="5">
        <v>3.5</v>
      </c>
      <c r="H110" s="24">
        <f t="shared" si="47"/>
        <v>12.081799999999999</v>
      </c>
      <c r="I110" s="27"/>
      <c r="J110" s="40">
        <f t="shared" si="48"/>
        <v>0</v>
      </c>
    </row>
    <row r="111" spans="1:10" ht="24" customHeight="1">
      <c r="A111" s="37">
        <v>664153</v>
      </c>
      <c r="B111" s="4" t="s">
        <v>65</v>
      </c>
      <c r="C111" s="5">
        <v>4.4000000000000004</v>
      </c>
      <c r="D111" s="5"/>
      <c r="E111" s="5"/>
      <c r="F111" s="21">
        <v>4.76</v>
      </c>
      <c r="G111" s="5">
        <v>3.5</v>
      </c>
      <c r="H111" s="24">
        <f t="shared" si="47"/>
        <v>4.5933999999999999</v>
      </c>
      <c r="I111" s="27"/>
      <c r="J111" s="40">
        <f t="shared" si="48"/>
        <v>0</v>
      </c>
    </row>
    <row r="112" spans="1:10" ht="24" customHeight="1">
      <c r="A112" s="37">
        <v>765644</v>
      </c>
      <c r="B112" s="4" t="s">
        <v>218</v>
      </c>
      <c r="C112" s="5">
        <v>4.96</v>
      </c>
      <c r="D112" s="5"/>
      <c r="E112" s="5"/>
      <c r="F112" s="21">
        <v>5.37</v>
      </c>
      <c r="G112" s="5">
        <v>3.5</v>
      </c>
      <c r="H112" s="24">
        <f t="shared" ref="H112:H115" si="49">F112*0.965</f>
        <v>5.1820500000000003</v>
      </c>
      <c r="I112" s="27"/>
      <c r="J112" s="38">
        <f t="shared" ref="J112:J115" si="50">I112*H112</f>
        <v>0</v>
      </c>
    </row>
    <row r="113" spans="1:10" ht="24" customHeight="1">
      <c r="A113" s="37">
        <v>977298</v>
      </c>
      <c r="B113" s="4" t="s">
        <v>219</v>
      </c>
      <c r="C113" s="5">
        <v>1.1599999999999999</v>
      </c>
      <c r="D113" s="5"/>
      <c r="E113" s="5"/>
      <c r="F113" s="21">
        <v>1.25</v>
      </c>
      <c r="G113" s="5">
        <v>3.5</v>
      </c>
      <c r="H113" s="24">
        <f t="shared" si="49"/>
        <v>1.20625</v>
      </c>
      <c r="I113" s="27"/>
      <c r="J113" s="38">
        <f t="shared" si="50"/>
        <v>0</v>
      </c>
    </row>
    <row r="114" spans="1:10" ht="24" customHeight="1">
      <c r="A114" s="37">
        <v>653544</v>
      </c>
      <c r="B114" s="4" t="s">
        <v>220</v>
      </c>
      <c r="C114" s="5">
        <v>1.6</v>
      </c>
      <c r="D114" s="5"/>
      <c r="E114" s="5"/>
      <c r="F114" s="21">
        <v>1.73</v>
      </c>
      <c r="G114" s="5">
        <v>3.5</v>
      </c>
      <c r="H114" s="24">
        <f t="shared" si="49"/>
        <v>1.6694499999999999</v>
      </c>
      <c r="I114" s="27"/>
      <c r="J114" s="38">
        <f t="shared" si="50"/>
        <v>0</v>
      </c>
    </row>
    <row r="115" spans="1:10" ht="24" customHeight="1">
      <c r="A115" s="37">
        <v>672096</v>
      </c>
      <c r="B115" s="4" t="s">
        <v>222</v>
      </c>
      <c r="C115" s="5">
        <v>2.63</v>
      </c>
      <c r="D115" s="5"/>
      <c r="E115" s="5"/>
      <c r="F115" s="21">
        <v>2.85</v>
      </c>
      <c r="G115" s="5">
        <v>3.5</v>
      </c>
      <c r="H115" s="24">
        <f t="shared" si="49"/>
        <v>2.7502499999999999</v>
      </c>
      <c r="I115" s="27"/>
      <c r="J115" s="38">
        <f t="shared" si="50"/>
        <v>0</v>
      </c>
    </row>
    <row r="116" spans="1:10" ht="24" customHeight="1">
      <c r="A116" s="37">
        <v>700645</v>
      </c>
      <c r="B116" s="4" t="s">
        <v>170</v>
      </c>
      <c r="C116" s="5">
        <v>1.6</v>
      </c>
      <c r="D116" s="5"/>
      <c r="E116" s="5"/>
      <c r="F116" s="21">
        <v>1.73</v>
      </c>
      <c r="G116" s="5">
        <v>3.5</v>
      </c>
      <c r="H116" s="24">
        <f t="shared" si="47"/>
        <v>1.6694499999999999</v>
      </c>
      <c r="I116" s="27"/>
      <c r="J116" s="38">
        <f t="shared" si="48"/>
        <v>0</v>
      </c>
    </row>
    <row r="117" spans="1:10" ht="24" customHeight="1">
      <c r="A117" s="37">
        <v>660434</v>
      </c>
      <c r="B117" s="4" t="s">
        <v>235</v>
      </c>
      <c r="C117" s="5">
        <v>38.64</v>
      </c>
      <c r="D117" s="5"/>
      <c r="E117" s="5"/>
      <c r="F117" s="21">
        <v>41.82</v>
      </c>
      <c r="G117" s="5">
        <v>3</v>
      </c>
      <c r="H117" s="24">
        <f>F117*0.97</f>
        <v>40.565399999999997</v>
      </c>
      <c r="I117" s="27"/>
      <c r="J117" s="38">
        <f>+I117*H117</f>
        <v>0</v>
      </c>
    </row>
    <row r="118" spans="1:10" ht="24" customHeight="1">
      <c r="A118" s="37">
        <v>660433</v>
      </c>
      <c r="B118" s="4" t="s">
        <v>236</v>
      </c>
      <c r="C118" s="5">
        <v>38.64</v>
      </c>
      <c r="D118" s="5"/>
      <c r="E118" s="5"/>
      <c r="F118" s="21">
        <v>41.82</v>
      </c>
      <c r="G118" s="5">
        <v>3</v>
      </c>
      <c r="H118" s="24">
        <f t="shared" ref="H118:H153" si="51">F118*0.97</f>
        <v>40.565399999999997</v>
      </c>
      <c r="I118" s="27"/>
      <c r="J118" s="38">
        <f t="shared" ref="J118:J153" si="52">+I118*H118</f>
        <v>0</v>
      </c>
    </row>
    <row r="119" spans="1:10" ht="24" customHeight="1">
      <c r="A119" s="37">
        <v>700048</v>
      </c>
      <c r="B119" s="4" t="s">
        <v>237</v>
      </c>
      <c r="C119" s="5">
        <v>45</v>
      </c>
      <c r="D119" s="5"/>
      <c r="E119" s="5"/>
      <c r="F119" s="21">
        <v>48.7</v>
      </c>
      <c r="G119" s="5">
        <v>3</v>
      </c>
      <c r="H119" s="24">
        <f t="shared" si="51"/>
        <v>47.239000000000004</v>
      </c>
      <c r="I119" s="27"/>
      <c r="J119" s="38">
        <f t="shared" si="52"/>
        <v>0</v>
      </c>
    </row>
    <row r="120" spans="1:10" ht="24" customHeight="1">
      <c r="A120" s="37">
        <v>654850</v>
      </c>
      <c r="B120" s="4" t="s">
        <v>238</v>
      </c>
      <c r="C120" s="5">
        <v>8.5</v>
      </c>
      <c r="D120" s="5"/>
      <c r="E120" s="5"/>
      <c r="F120" s="21">
        <v>9.1999999999999993</v>
      </c>
      <c r="G120" s="5">
        <v>3</v>
      </c>
      <c r="H120" s="24">
        <f t="shared" si="51"/>
        <v>8.9239999999999995</v>
      </c>
      <c r="I120" s="27"/>
      <c r="J120" s="38">
        <f t="shared" si="52"/>
        <v>0</v>
      </c>
    </row>
    <row r="121" spans="1:10" ht="24" customHeight="1">
      <c r="A121" s="37">
        <v>654849</v>
      </c>
      <c r="B121" s="4" t="s">
        <v>239</v>
      </c>
      <c r="C121" s="5">
        <v>8.5</v>
      </c>
      <c r="D121" s="5"/>
      <c r="E121" s="5"/>
      <c r="F121" s="21">
        <v>9.1999999999999993</v>
      </c>
      <c r="G121" s="5">
        <v>3</v>
      </c>
      <c r="H121" s="24">
        <f t="shared" si="51"/>
        <v>8.9239999999999995</v>
      </c>
      <c r="I121" s="27"/>
      <c r="J121" s="38">
        <f t="shared" si="52"/>
        <v>0</v>
      </c>
    </row>
    <row r="122" spans="1:10" ht="24" customHeight="1">
      <c r="A122" s="37">
        <v>654852</v>
      </c>
      <c r="B122" s="4" t="s">
        <v>240</v>
      </c>
      <c r="C122" s="5">
        <v>9.0399999999999991</v>
      </c>
      <c r="D122" s="5"/>
      <c r="E122" s="5"/>
      <c r="F122" s="21">
        <v>9.7799999999999994</v>
      </c>
      <c r="G122" s="5">
        <v>3</v>
      </c>
      <c r="H122" s="24">
        <f t="shared" si="51"/>
        <v>9.4865999999999993</v>
      </c>
      <c r="I122" s="27"/>
      <c r="J122" s="38">
        <f t="shared" si="52"/>
        <v>0</v>
      </c>
    </row>
    <row r="123" spans="1:10" ht="24" customHeight="1">
      <c r="A123" s="37">
        <v>654851</v>
      </c>
      <c r="B123" s="4" t="s">
        <v>241</v>
      </c>
      <c r="C123" s="5">
        <v>8.5</v>
      </c>
      <c r="D123" s="5"/>
      <c r="E123" s="5"/>
      <c r="F123" s="21">
        <v>9.1999999999999993</v>
      </c>
      <c r="G123" s="5">
        <v>3</v>
      </c>
      <c r="H123" s="24">
        <f t="shared" si="51"/>
        <v>8.9239999999999995</v>
      </c>
      <c r="I123" s="27"/>
      <c r="J123" s="38">
        <f t="shared" si="52"/>
        <v>0</v>
      </c>
    </row>
    <row r="124" spans="1:10" ht="24" customHeight="1">
      <c r="A124" s="37">
        <v>654854</v>
      </c>
      <c r="B124" s="4" t="s">
        <v>242</v>
      </c>
      <c r="C124" s="5">
        <v>9.0399999999999991</v>
      </c>
      <c r="D124" s="5"/>
      <c r="E124" s="5"/>
      <c r="F124" s="21">
        <v>9.7799999999999994</v>
      </c>
      <c r="G124" s="5">
        <v>3</v>
      </c>
      <c r="H124" s="24">
        <f t="shared" si="51"/>
        <v>9.4865999999999993</v>
      </c>
      <c r="I124" s="27"/>
      <c r="J124" s="38">
        <f t="shared" si="52"/>
        <v>0</v>
      </c>
    </row>
    <row r="125" spans="1:10" ht="24" customHeight="1">
      <c r="A125" s="37">
        <v>654853</v>
      </c>
      <c r="B125" s="4" t="s">
        <v>243</v>
      </c>
      <c r="C125" s="5">
        <v>8.5</v>
      </c>
      <c r="D125" s="5"/>
      <c r="E125" s="5"/>
      <c r="F125" s="21">
        <v>9.1999999999999993</v>
      </c>
      <c r="G125" s="5">
        <v>3</v>
      </c>
      <c r="H125" s="24">
        <f t="shared" si="51"/>
        <v>8.9239999999999995</v>
      </c>
      <c r="I125" s="27"/>
      <c r="J125" s="38">
        <f t="shared" si="52"/>
        <v>0</v>
      </c>
    </row>
    <row r="126" spans="1:10" ht="24" customHeight="1">
      <c r="A126" s="37">
        <v>702080</v>
      </c>
      <c r="B126" s="4" t="s">
        <v>244</v>
      </c>
      <c r="C126" s="5">
        <v>14.47</v>
      </c>
      <c r="D126" s="5"/>
      <c r="E126" s="5"/>
      <c r="F126" s="21">
        <v>15.66</v>
      </c>
      <c r="G126" s="5">
        <v>3</v>
      </c>
      <c r="H126" s="24">
        <f t="shared" si="51"/>
        <v>15.190199999999999</v>
      </c>
      <c r="I126" s="27"/>
      <c r="J126" s="38">
        <f t="shared" si="52"/>
        <v>0</v>
      </c>
    </row>
    <row r="127" spans="1:10" ht="24" customHeight="1">
      <c r="A127" s="37">
        <v>660018</v>
      </c>
      <c r="B127" s="4" t="s">
        <v>245</v>
      </c>
      <c r="C127" s="5">
        <v>12.5</v>
      </c>
      <c r="D127" s="5"/>
      <c r="E127" s="5"/>
      <c r="F127" s="21">
        <v>13.53</v>
      </c>
      <c r="G127" s="5">
        <v>3</v>
      </c>
      <c r="H127" s="24">
        <f t="shared" si="51"/>
        <v>13.124099999999999</v>
      </c>
      <c r="I127" s="27"/>
      <c r="J127" s="38">
        <f t="shared" si="52"/>
        <v>0</v>
      </c>
    </row>
    <row r="128" spans="1:10" ht="24" customHeight="1">
      <c r="A128" s="37">
        <v>660345</v>
      </c>
      <c r="B128" s="4" t="s">
        <v>246</v>
      </c>
      <c r="C128" s="5">
        <v>19.989999999999998</v>
      </c>
      <c r="D128" s="5"/>
      <c r="E128" s="5"/>
      <c r="F128" s="21">
        <v>21.64</v>
      </c>
      <c r="G128" s="5">
        <v>3</v>
      </c>
      <c r="H128" s="24">
        <f t="shared" si="51"/>
        <v>20.9908</v>
      </c>
      <c r="I128" s="27"/>
      <c r="J128" s="38">
        <f t="shared" si="52"/>
        <v>0</v>
      </c>
    </row>
    <row r="129" spans="1:10" ht="24" customHeight="1">
      <c r="A129" s="37">
        <v>724617</v>
      </c>
      <c r="B129" s="4" t="s">
        <v>247</v>
      </c>
      <c r="C129" s="5">
        <v>48.43</v>
      </c>
      <c r="D129" s="5"/>
      <c r="E129" s="5"/>
      <c r="F129" s="21">
        <v>52.42</v>
      </c>
      <c r="G129" s="5">
        <v>3</v>
      </c>
      <c r="H129" s="24">
        <f t="shared" si="51"/>
        <v>50.8474</v>
      </c>
      <c r="I129" s="27"/>
      <c r="J129" s="38">
        <f t="shared" si="52"/>
        <v>0</v>
      </c>
    </row>
    <row r="130" spans="1:10" ht="24" customHeight="1">
      <c r="A130" s="37">
        <v>724500</v>
      </c>
      <c r="B130" s="4" t="s">
        <v>732</v>
      </c>
      <c r="C130" s="5">
        <v>48.43</v>
      </c>
      <c r="D130" s="5"/>
      <c r="E130" s="5"/>
      <c r="F130" s="21">
        <v>52.42</v>
      </c>
      <c r="G130" s="5">
        <v>3</v>
      </c>
      <c r="H130" s="24">
        <f t="shared" ref="H130" si="53">F130*0.97</f>
        <v>50.8474</v>
      </c>
      <c r="I130" s="27"/>
      <c r="J130" s="38">
        <f t="shared" ref="J130" si="54">+I130*H130</f>
        <v>0</v>
      </c>
    </row>
    <row r="131" spans="1:10" ht="24" customHeight="1">
      <c r="A131" s="37">
        <v>780643</v>
      </c>
      <c r="B131" s="4" t="s">
        <v>248</v>
      </c>
      <c r="C131" s="5">
        <v>7.68</v>
      </c>
      <c r="D131" s="5"/>
      <c r="E131" s="5"/>
      <c r="F131" s="21">
        <v>8.31</v>
      </c>
      <c r="G131" s="5">
        <v>3</v>
      </c>
      <c r="H131" s="24">
        <f t="shared" si="51"/>
        <v>8.0607000000000006</v>
      </c>
      <c r="I131" s="27"/>
      <c r="J131" s="38">
        <f t="shared" si="52"/>
        <v>0</v>
      </c>
    </row>
    <row r="132" spans="1:10" ht="24" customHeight="1">
      <c r="A132" s="37">
        <v>661200</v>
      </c>
      <c r="B132" s="4" t="s">
        <v>249</v>
      </c>
      <c r="C132" s="5">
        <v>15.35</v>
      </c>
      <c r="D132" s="5"/>
      <c r="E132" s="5"/>
      <c r="F132" s="21">
        <v>16.61</v>
      </c>
      <c r="G132" s="5">
        <v>3</v>
      </c>
      <c r="H132" s="24">
        <f t="shared" si="51"/>
        <v>16.111699999999999</v>
      </c>
      <c r="I132" s="27"/>
      <c r="J132" s="38">
        <f t="shared" si="52"/>
        <v>0</v>
      </c>
    </row>
    <row r="133" spans="1:10" ht="24" customHeight="1">
      <c r="A133" s="37">
        <v>657353</v>
      </c>
      <c r="B133" s="4" t="s">
        <v>250</v>
      </c>
      <c r="C133" s="5">
        <v>3.84</v>
      </c>
      <c r="D133" s="5"/>
      <c r="E133" s="5"/>
      <c r="F133" s="21">
        <v>4.1500000000000004</v>
      </c>
      <c r="G133" s="5">
        <v>3</v>
      </c>
      <c r="H133" s="24">
        <f t="shared" si="51"/>
        <v>4.0255000000000001</v>
      </c>
      <c r="I133" s="27"/>
      <c r="J133" s="38">
        <f t="shared" si="52"/>
        <v>0</v>
      </c>
    </row>
    <row r="134" spans="1:10" ht="24" customHeight="1">
      <c r="A134" s="37">
        <v>650389</v>
      </c>
      <c r="B134" s="4" t="s">
        <v>251</v>
      </c>
      <c r="C134" s="5">
        <v>7.68</v>
      </c>
      <c r="D134" s="5"/>
      <c r="E134" s="5"/>
      <c r="F134" s="21">
        <v>8.31</v>
      </c>
      <c r="G134" s="5">
        <v>3</v>
      </c>
      <c r="H134" s="24">
        <f t="shared" si="51"/>
        <v>8.0607000000000006</v>
      </c>
      <c r="I134" s="27"/>
      <c r="J134" s="38">
        <f t="shared" si="52"/>
        <v>0</v>
      </c>
    </row>
    <row r="135" spans="1:10" ht="24" customHeight="1">
      <c r="A135" s="37">
        <v>661221</v>
      </c>
      <c r="B135" s="4" t="s">
        <v>252</v>
      </c>
      <c r="C135" s="5">
        <v>15.35</v>
      </c>
      <c r="D135" s="5"/>
      <c r="E135" s="5"/>
      <c r="F135" s="21">
        <v>16.61</v>
      </c>
      <c r="G135" s="5">
        <v>3</v>
      </c>
      <c r="H135" s="24">
        <f t="shared" si="51"/>
        <v>16.111699999999999</v>
      </c>
      <c r="I135" s="27"/>
      <c r="J135" s="38">
        <f t="shared" si="52"/>
        <v>0</v>
      </c>
    </row>
    <row r="136" spans="1:10" ht="24" customHeight="1">
      <c r="A136" s="37">
        <v>720631</v>
      </c>
      <c r="B136" s="4" t="s">
        <v>265</v>
      </c>
      <c r="C136" s="5">
        <v>10.44</v>
      </c>
      <c r="D136" s="5"/>
      <c r="E136" s="5"/>
      <c r="F136" s="21">
        <v>11.3</v>
      </c>
      <c r="G136" s="5">
        <v>3</v>
      </c>
      <c r="H136" s="24">
        <f t="shared" si="51"/>
        <v>10.961</v>
      </c>
      <c r="I136" s="27"/>
      <c r="J136" s="38">
        <f t="shared" si="52"/>
        <v>0</v>
      </c>
    </row>
    <row r="137" spans="1:10" ht="24" customHeight="1">
      <c r="A137" s="37">
        <v>659091</v>
      </c>
      <c r="B137" s="4" t="s">
        <v>266</v>
      </c>
      <c r="C137" s="5">
        <v>20.88</v>
      </c>
      <c r="D137" s="5"/>
      <c r="E137" s="5"/>
      <c r="F137" s="21">
        <v>22.6</v>
      </c>
      <c r="G137" s="5">
        <v>3</v>
      </c>
      <c r="H137" s="24">
        <f t="shared" si="51"/>
        <v>21.922000000000001</v>
      </c>
      <c r="I137" s="27"/>
      <c r="J137" s="38">
        <f t="shared" si="52"/>
        <v>0</v>
      </c>
    </row>
    <row r="138" spans="1:10" ht="24" customHeight="1">
      <c r="A138" s="37">
        <v>715581</v>
      </c>
      <c r="B138" s="4" t="s">
        <v>267</v>
      </c>
      <c r="C138" s="5">
        <v>5.22</v>
      </c>
      <c r="D138" s="5"/>
      <c r="E138" s="5"/>
      <c r="F138" s="21">
        <v>5.65</v>
      </c>
      <c r="G138" s="5">
        <v>3</v>
      </c>
      <c r="H138" s="24">
        <f t="shared" si="51"/>
        <v>5.4805000000000001</v>
      </c>
      <c r="I138" s="27"/>
      <c r="J138" s="38">
        <f t="shared" si="52"/>
        <v>0</v>
      </c>
    </row>
    <row r="139" spans="1:10" ht="24" customHeight="1">
      <c r="A139" s="37">
        <v>694302</v>
      </c>
      <c r="B139" s="4" t="s">
        <v>253</v>
      </c>
      <c r="C139" s="5">
        <v>30.5</v>
      </c>
      <c r="D139" s="5"/>
      <c r="E139" s="5"/>
      <c r="F139" s="21">
        <v>33.01</v>
      </c>
      <c r="G139" s="5">
        <v>3</v>
      </c>
      <c r="H139" s="24">
        <f t="shared" si="51"/>
        <v>32.0197</v>
      </c>
      <c r="I139" s="27"/>
      <c r="J139" s="38">
        <f t="shared" si="52"/>
        <v>0</v>
      </c>
    </row>
    <row r="140" spans="1:10" ht="24" customHeight="1">
      <c r="A140" s="37">
        <v>662221</v>
      </c>
      <c r="B140" s="4" t="s">
        <v>521</v>
      </c>
      <c r="C140" s="5">
        <v>5.86</v>
      </c>
      <c r="D140" s="5"/>
      <c r="E140" s="5"/>
      <c r="F140" s="21">
        <v>6.34</v>
      </c>
      <c r="G140" s="5">
        <v>3</v>
      </c>
      <c r="H140" s="24">
        <f t="shared" si="51"/>
        <v>6.1497999999999999</v>
      </c>
      <c r="I140" s="27"/>
      <c r="J140" s="38">
        <f>+I140*E140</f>
        <v>0</v>
      </c>
    </row>
    <row r="141" spans="1:10" ht="24" customHeight="1">
      <c r="A141" s="37">
        <v>662213</v>
      </c>
      <c r="B141" s="4" t="s">
        <v>522</v>
      </c>
      <c r="C141" s="5">
        <v>1.55</v>
      </c>
      <c r="D141" s="5"/>
      <c r="E141" s="5"/>
      <c r="F141" s="21">
        <v>1.68</v>
      </c>
      <c r="G141" s="5">
        <v>3</v>
      </c>
      <c r="H141" s="24">
        <f t="shared" si="51"/>
        <v>1.6295999999999999</v>
      </c>
      <c r="I141" s="27"/>
      <c r="J141" s="38">
        <f t="shared" ref="J141" si="55">+I141*E141</f>
        <v>0</v>
      </c>
    </row>
    <row r="142" spans="1:10" ht="24" customHeight="1">
      <c r="A142" s="37">
        <v>662205</v>
      </c>
      <c r="B142" s="4" t="s">
        <v>523</v>
      </c>
      <c r="C142" s="5">
        <v>1.06</v>
      </c>
      <c r="D142" s="5"/>
      <c r="E142" s="5"/>
      <c r="F142" s="21">
        <v>1.1499999999999999</v>
      </c>
      <c r="G142" s="5">
        <v>3</v>
      </c>
      <c r="H142" s="24">
        <f t="shared" ref="H142:H145" si="56">F142*0.97</f>
        <v>1.1154999999999999</v>
      </c>
      <c r="I142" s="27"/>
      <c r="J142" s="38">
        <f t="shared" ref="J142:J145" si="57">+I142*E142</f>
        <v>0</v>
      </c>
    </row>
    <row r="143" spans="1:10" ht="24" customHeight="1">
      <c r="A143" s="37">
        <v>939223</v>
      </c>
      <c r="B143" s="4" t="s">
        <v>524</v>
      </c>
      <c r="C143" s="5">
        <v>4.45</v>
      </c>
      <c r="D143" s="5"/>
      <c r="E143" s="5"/>
      <c r="F143" s="21">
        <v>4.82</v>
      </c>
      <c r="G143" s="5">
        <v>3</v>
      </c>
      <c r="H143" s="24">
        <f t="shared" si="56"/>
        <v>4.6753999999999998</v>
      </c>
      <c r="I143" s="27"/>
      <c r="J143" s="38">
        <f t="shared" si="57"/>
        <v>0</v>
      </c>
    </row>
    <row r="144" spans="1:10" ht="24" customHeight="1">
      <c r="A144" s="37">
        <v>662197</v>
      </c>
      <c r="B144" s="4" t="s">
        <v>525</v>
      </c>
      <c r="C144" s="5">
        <v>1.6</v>
      </c>
      <c r="D144" s="5"/>
      <c r="E144" s="5"/>
      <c r="F144" s="21">
        <v>1.73</v>
      </c>
      <c r="G144" s="5">
        <v>3</v>
      </c>
      <c r="H144" s="24">
        <f t="shared" si="56"/>
        <v>1.6780999999999999</v>
      </c>
      <c r="I144" s="27"/>
      <c r="J144" s="38">
        <f t="shared" si="57"/>
        <v>0</v>
      </c>
    </row>
    <row r="145" spans="1:10" ht="24" customHeight="1">
      <c r="A145" s="37">
        <v>655134</v>
      </c>
      <c r="B145" s="4" t="s">
        <v>526</v>
      </c>
      <c r="C145" s="5">
        <v>1.6</v>
      </c>
      <c r="D145" s="5"/>
      <c r="E145" s="5"/>
      <c r="F145" s="21">
        <v>1.73</v>
      </c>
      <c r="G145" s="5">
        <v>3</v>
      </c>
      <c r="H145" s="24">
        <f t="shared" si="56"/>
        <v>1.6780999999999999</v>
      </c>
      <c r="I145" s="27"/>
      <c r="J145" s="38">
        <f t="shared" si="57"/>
        <v>0</v>
      </c>
    </row>
    <row r="146" spans="1:10" ht="24" customHeight="1">
      <c r="A146" s="37">
        <v>901249</v>
      </c>
      <c r="B146" s="4" t="s">
        <v>815</v>
      </c>
      <c r="C146" s="5">
        <v>3.17</v>
      </c>
      <c r="D146" s="5"/>
      <c r="E146" s="5"/>
      <c r="F146" s="21">
        <v>3.43</v>
      </c>
      <c r="G146" s="5">
        <v>3</v>
      </c>
      <c r="H146" s="24">
        <f t="shared" ref="H146" si="58">F146*0.97</f>
        <v>3.3271000000000002</v>
      </c>
      <c r="I146" s="27"/>
      <c r="J146" s="38">
        <f t="shared" ref="J146" si="59">+I146*E146</f>
        <v>0</v>
      </c>
    </row>
    <row r="147" spans="1:10" ht="24" customHeight="1">
      <c r="A147" s="37">
        <v>709176</v>
      </c>
      <c r="B147" s="4" t="s">
        <v>254</v>
      </c>
      <c r="C147" s="5">
        <v>59.36</v>
      </c>
      <c r="D147" s="5"/>
      <c r="E147" s="5"/>
      <c r="F147" s="21">
        <v>64.239999999999995</v>
      </c>
      <c r="G147" s="5">
        <v>3</v>
      </c>
      <c r="H147" s="24">
        <f t="shared" si="51"/>
        <v>62.312799999999996</v>
      </c>
      <c r="I147" s="27"/>
      <c r="J147" s="38">
        <f t="shared" si="52"/>
        <v>0</v>
      </c>
    </row>
    <row r="148" spans="1:10" ht="24" customHeight="1">
      <c r="A148" s="37">
        <v>709177</v>
      </c>
      <c r="B148" s="4" t="s">
        <v>255</v>
      </c>
      <c r="C148" s="5">
        <v>118.72</v>
      </c>
      <c r="D148" s="5"/>
      <c r="E148" s="5"/>
      <c r="F148" s="21">
        <v>126.12</v>
      </c>
      <c r="G148" s="5">
        <v>2</v>
      </c>
      <c r="H148" s="24">
        <f>F148*0.98</f>
        <v>123.5976</v>
      </c>
      <c r="I148" s="27"/>
      <c r="J148" s="38">
        <f t="shared" si="52"/>
        <v>0</v>
      </c>
    </row>
    <row r="149" spans="1:10" ht="24" customHeight="1">
      <c r="A149" s="37">
        <v>709178</v>
      </c>
      <c r="B149" s="4" t="s">
        <v>276</v>
      </c>
      <c r="C149" s="5">
        <v>118.72</v>
      </c>
      <c r="D149" s="5"/>
      <c r="E149" s="5"/>
      <c r="F149" s="21">
        <v>126.12</v>
      </c>
      <c r="G149" s="5">
        <v>2</v>
      </c>
      <c r="H149" s="24">
        <f>F149*0.98</f>
        <v>123.5976</v>
      </c>
      <c r="I149" s="27"/>
      <c r="J149" s="38">
        <f t="shared" ref="J149" si="60">+I149*H149</f>
        <v>0</v>
      </c>
    </row>
    <row r="150" spans="1:10" ht="24" customHeight="1">
      <c r="A150" s="37">
        <v>664465</v>
      </c>
      <c r="B150" s="4" t="s">
        <v>263</v>
      </c>
      <c r="C150" s="5">
        <v>32.11</v>
      </c>
      <c r="D150" s="5"/>
      <c r="E150" s="5"/>
      <c r="F150" s="21">
        <v>34.75</v>
      </c>
      <c r="G150" s="5">
        <v>3</v>
      </c>
      <c r="H150" s="24">
        <f t="shared" si="51"/>
        <v>33.707499999999996</v>
      </c>
      <c r="I150" s="27"/>
      <c r="J150" s="38">
        <f t="shared" si="52"/>
        <v>0</v>
      </c>
    </row>
    <row r="151" spans="1:10" ht="24" customHeight="1">
      <c r="A151" s="37">
        <v>669622</v>
      </c>
      <c r="B151" s="4" t="s">
        <v>264</v>
      </c>
      <c r="C151" s="5">
        <v>59</v>
      </c>
      <c r="D151" s="5"/>
      <c r="E151" s="5"/>
      <c r="F151" s="21">
        <v>63.85</v>
      </c>
      <c r="G151" s="5">
        <v>3</v>
      </c>
      <c r="H151" s="24">
        <f t="shared" si="51"/>
        <v>61.9345</v>
      </c>
      <c r="I151" s="27"/>
      <c r="J151" s="38">
        <f t="shared" si="52"/>
        <v>0</v>
      </c>
    </row>
    <row r="152" spans="1:10" ht="24" customHeight="1">
      <c r="A152" s="37">
        <v>789693</v>
      </c>
      <c r="B152" s="4" t="s">
        <v>743</v>
      </c>
      <c r="C152" s="5">
        <v>6.38</v>
      </c>
      <c r="D152" s="5"/>
      <c r="E152" s="5"/>
      <c r="F152" s="21">
        <v>6.91</v>
      </c>
      <c r="G152" s="5">
        <v>3</v>
      </c>
      <c r="H152" s="24">
        <f t="shared" si="51"/>
        <v>6.7027000000000001</v>
      </c>
      <c r="I152" s="27"/>
      <c r="J152" s="38">
        <f t="shared" si="52"/>
        <v>0</v>
      </c>
    </row>
    <row r="153" spans="1:10" ht="24" customHeight="1">
      <c r="A153" s="37">
        <v>728327</v>
      </c>
      <c r="B153" s="4" t="s">
        <v>744</v>
      </c>
      <c r="C153" s="5">
        <v>87.81</v>
      </c>
      <c r="D153" s="5"/>
      <c r="E153" s="5"/>
      <c r="F153" s="21">
        <v>95.04</v>
      </c>
      <c r="G153" s="5">
        <v>3</v>
      </c>
      <c r="H153" s="24">
        <f t="shared" si="51"/>
        <v>92.188800000000001</v>
      </c>
      <c r="I153" s="27"/>
      <c r="J153" s="38">
        <f t="shared" si="52"/>
        <v>0</v>
      </c>
    </row>
    <row r="154" spans="1:10" ht="24" customHeight="1">
      <c r="A154" s="37">
        <v>653825</v>
      </c>
      <c r="B154" s="4" t="s">
        <v>271</v>
      </c>
      <c r="C154" s="5">
        <v>33.6</v>
      </c>
      <c r="D154" s="5"/>
      <c r="E154" s="5"/>
      <c r="F154" s="21">
        <v>36.369999999999997</v>
      </c>
      <c r="G154" s="5">
        <v>3</v>
      </c>
      <c r="H154" s="24">
        <f t="shared" ref="H154:H155" si="61">F154*0.97</f>
        <v>35.278899999999993</v>
      </c>
      <c r="I154" s="27"/>
      <c r="J154" s="38">
        <f t="shared" ref="J154:J155" si="62">+I154*H154</f>
        <v>0</v>
      </c>
    </row>
    <row r="155" spans="1:10" ht="24" customHeight="1">
      <c r="A155" s="37">
        <v>653817</v>
      </c>
      <c r="B155" s="4" t="s">
        <v>272</v>
      </c>
      <c r="C155" s="5">
        <v>16.8</v>
      </c>
      <c r="D155" s="5"/>
      <c r="E155" s="5"/>
      <c r="F155" s="21">
        <v>18.18</v>
      </c>
      <c r="G155" s="5">
        <v>3</v>
      </c>
      <c r="H155" s="24">
        <f t="shared" si="61"/>
        <v>17.634599999999999</v>
      </c>
      <c r="I155" s="27"/>
      <c r="J155" s="38">
        <f t="shared" si="62"/>
        <v>0</v>
      </c>
    </row>
    <row r="156" spans="1:10" ht="24" hidden="1" customHeight="1">
      <c r="A156" s="337" t="s">
        <v>208</v>
      </c>
      <c r="B156" s="338"/>
      <c r="C156" s="338"/>
      <c r="D156" s="338"/>
      <c r="E156" s="338"/>
      <c r="F156" s="338"/>
      <c r="G156" s="338"/>
      <c r="H156" s="339"/>
      <c r="I156" s="27"/>
      <c r="J156" s="36"/>
    </row>
    <row r="157" spans="1:10" ht="24" hidden="1" customHeight="1">
      <c r="A157" s="37">
        <v>815241</v>
      </c>
      <c r="B157" s="8" t="s">
        <v>468</v>
      </c>
      <c r="C157" s="5">
        <v>9.93</v>
      </c>
      <c r="D157" s="5"/>
      <c r="E157" s="5"/>
      <c r="F157" s="5">
        <v>10.75</v>
      </c>
      <c r="G157" s="5">
        <v>4</v>
      </c>
      <c r="H157" s="24">
        <f>F157*0.96</f>
        <v>10.32</v>
      </c>
      <c r="I157" s="27"/>
      <c r="J157" s="38">
        <f>I157*E157</f>
        <v>0</v>
      </c>
    </row>
    <row r="158" spans="1:10" ht="24" hidden="1" customHeight="1">
      <c r="A158" s="37"/>
      <c r="B158" s="8" t="s">
        <v>661</v>
      </c>
      <c r="C158" s="5">
        <v>9.93</v>
      </c>
      <c r="D158" s="5"/>
      <c r="E158" s="5"/>
      <c r="F158" s="5">
        <v>10.75</v>
      </c>
      <c r="G158" s="5">
        <v>5</v>
      </c>
      <c r="H158" s="24">
        <f>F158*0.95</f>
        <v>10.2125</v>
      </c>
      <c r="I158" s="27"/>
      <c r="J158" s="38">
        <f>I158*E158</f>
        <v>0</v>
      </c>
    </row>
    <row r="159" spans="1:10" ht="24" hidden="1" customHeight="1">
      <c r="A159" s="37">
        <v>654770</v>
      </c>
      <c r="B159" s="8" t="s">
        <v>66</v>
      </c>
      <c r="C159" s="5">
        <v>11.4</v>
      </c>
      <c r="D159" s="5"/>
      <c r="E159" s="5"/>
      <c r="F159" s="5">
        <v>12.34</v>
      </c>
      <c r="G159" s="5">
        <v>4</v>
      </c>
      <c r="H159" s="24">
        <f>F159*0.96</f>
        <v>11.846399999999999</v>
      </c>
      <c r="I159" s="27"/>
      <c r="J159" s="40">
        <f>I159*H159</f>
        <v>0</v>
      </c>
    </row>
    <row r="160" spans="1:10" ht="24" customHeight="1">
      <c r="A160" s="337" t="s">
        <v>622</v>
      </c>
      <c r="B160" s="338"/>
      <c r="C160" s="338"/>
      <c r="D160" s="338"/>
      <c r="E160" s="338"/>
      <c r="F160" s="338"/>
      <c r="G160" s="338"/>
      <c r="H160" s="339"/>
      <c r="I160" s="27"/>
      <c r="J160" s="36"/>
    </row>
    <row r="161" spans="1:10" ht="24" customHeight="1">
      <c r="A161" s="37">
        <v>673183</v>
      </c>
      <c r="B161" s="8" t="s">
        <v>623</v>
      </c>
      <c r="C161" s="13">
        <v>6.23</v>
      </c>
      <c r="D161" s="5"/>
      <c r="E161" s="5">
        <f>+C161</f>
        <v>6.23</v>
      </c>
      <c r="F161" s="5"/>
      <c r="G161" s="5"/>
      <c r="H161" s="24"/>
      <c r="I161" s="27"/>
      <c r="J161" s="38">
        <f>+I161*E161</f>
        <v>0</v>
      </c>
    </row>
    <row r="162" spans="1:10" ht="24" customHeight="1">
      <c r="A162" s="37">
        <v>673184</v>
      </c>
      <c r="B162" s="8" t="s">
        <v>624</v>
      </c>
      <c r="C162" s="13">
        <v>10.9</v>
      </c>
      <c r="D162" s="5"/>
      <c r="E162" s="5">
        <f>+C162</f>
        <v>10.9</v>
      </c>
      <c r="F162" s="5"/>
      <c r="G162" s="5"/>
      <c r="H162" s="24"/>
      <c r="I162" s="27"/>
      <c r="J162" s="40">
        <f>+I162*E162</f>
        <v>0</v>
      </c>
    </row>
    <row r="163" spans="1:10" ht="24" customHeight="1">
      <c r="A163" s="337" t="s">
        <v>863</v>
      </c>
      <c r="B163" s="338"/>
      <c r="C163" s="338"/>
      <c r="D163" s="338"/>
      <c r="E163" s="338"/>
      <c r="F163" s="338"/>
      <c r="G163" s="338"/>
      <c r="H163" s="339"/>
      <c r="I163" s="27"/>
      <c r="J163" s="36"/>
    </row>
    <row r="164" spans="1:10" ht="24" customHeight="1">
      <c r="A164" s="37">
        <v>710966</v>
      </c>
      <c r="B164" s="8" t="s">
        <v>864</v>
      </c>
      <c r="C164" s="13">
        <v>31.48</v>
      </c>
      <c r="D164" s="5">
        <v>20</v>
      </c>
      <c r="E164" s="5">
        <f>+C164*0.8</f>
        <v>25.184000000000001</v>
      </c>
      <c r="F164" s="5"/>
      <c r="G164" s="5"/>
      <c r="H164" s="24"/>
      <c r="I164" s="27"/>
      <c r="J164" s="38">
        <f>+I164*E164</f>
        <v>0</v>
      </c>
    </row>
    <row r="165" spans="1:10" ht="24" customHeight="1">
      <c r="A165" s="337" t="s">
        <v>204</v>
      </c>
      <c r="B165" s="338"/>
      <c r="C165" s="338"/>
      <c r="D165" s="338"/>
      <c r="E165" s="338"/>
      <c r="F165" s="338"/>
      <c r="G165" s="338"/>
      <c r="H165" s="339"/>
      <c r="I165" s="27"/>
      <c r="J165" s="36"/>
    </row>
    <row r="166" spans="1:10" ht="24" customHeight="1">
      <c r="A166" s="37">
        <v>656645</v>
      </c>
      <c r="B166" s="8" t="s">
        <v>205</v>
      </c>
      <c r="C166" s="5">
        <v>5.9</v>
      </c>
      <c r="D166" s="5"/>
      <c r="E166" s="5"/>
      <c r="F166" s="21">
        <v>6.39</v>
      </c>
      <c r="G166" s="5">
        <v>3.5</v>
      </c>
      <c r="H166" s="24">
        <f>F166*0.965</f>
        <v>6.1663499999999996</v>
      </c>
      <c r="I166" s="27"/>
      <c r="J166" s="40">
        <f t="shared" ref="J166:J169" si="63">+I166*H166</f>
        <v>0</v>
      </c>
    </row>
    <row r="167" spans="1:10" ht="24" customHeight="1">
      <c r="A167" s="37">
        <v>695742</v>
      </c>
      <c r="B167" s="8" t="s">
        <v>338</v>
      </c>
      <c r="C167" s="5">
        <v>4.83</v>
      </c>
      <c r="D167" s="5"/>
      <c r="E167" s="5"/>
      <c r="F167" s="21">
        <v>5.23</v>
      </c>
      <c r="G167" s="5">
        <v>3.5</v>
      </c>
      <c r="H167" s="24">
        <f>F167*0.965</f>
        <v>5.0469499999999998</v>
      </c>
      <c r="I167" s="27"/>
      <c r="J167" s="40">
        <f t="shared" si="63"/>
        <v>0</v>
      </c>
    </row>
    <row r="168" spans="1:10" ht="24" hidden="1" customHeight="1">
      <c r="A168" s="37">
        <v>959833</v>
      </c>
      <c r="B168" s="8" t="s">
        <v>351</v>
      </c>
      <c r="C168" s="5">
        <v>2.13</v>
      </c>
      <c r="D168" s="5"/>
      <c r="E168" s="5"/>
      <c r="F168" s="21">
        <v>2.31</v>
      </c>
      <c r="G168" s="5">
        <v>3.5</v>
      </c>
      <c r="H168" s="24">
        <f>F168*0.965</f>
        <v>2.2291500000000002</v>
      </c>
      <c r="I168" s="27"/>
      <c r="J168" s="40">
        <f t="shared" si="63"/>
        <v>0</v>
      </c>
    </row>
    <row r="169" spans="1:10" ht="24" customHeight="1">
      <c r="A169" s="37">
        <v>949438</v>
      </c>
      <c r="B169" s="8" t="s">
        <v>360</v>
      </c>
      <c r="C169" s="5">
        <v>8.6300000000000008</v>
      </c>
      <c r="D169" s="5"/>
      <c r="E169" s="5"/>
      <c r="F169" s="21">
        <v>9.34</v>
      </c>
      <c r="G169" s="5">
        <v>3.5</v>
      </c>
      <c r="H169" s="24">
        <f>F169*0.965</f>
        <v>9.0130999999999997</v>
      </c>
      <c r="I169" s="27"/>
      <c r="J169" s="40">
        <f t="shared" si="63"/>
        <v>0</v>
      </c>
    </row>
    <row r="170" spans="1:10" ht="24" customHeight="1">
      <c r="A170" s="37">
        <v>696450</v>
      </c>
      <c r="B170" s="8" t="s">
        <v>813</v>
      </c>
      <c r="C170" s="5">
        <v>7.8</v>
      </c>
      <c r="D170" s="5"/>
      <c r="E170" s="5"/>
      <c r="F170" s="21">
        <v>8.44</v>
      </c>
      <c r="G170" s="5">
        <v>3.5</v>
      </c>
      <c r="H170" s="24">
        <f>F170*0.965</f>
        <v>8.1445999999999987</v>
      </c>
      <c r="I170" s="27"/>
      <c r="J170" s="40">
        <f t="shared" ref="J170" si="64">+I170*H170</f>
        <v>0</v>
      </c>
    </row>
    <row r="171" spans="1:10" ht="24" customHeight="1">
      <c r="A171" s="337" t="s">
        <v>288</v>
      </c>
      <c r="B171" s="338"/>
      <c r="C171" s="338"/>
      <c r="D171" s="338"/>
      <c r="E171" s="338"/>
      <c r="F171" s="338"/>
      <c r="G171" s="338"/>
      <c r="H171" s="339"/>
      <c r="I171" s="27"/>
      <c r="J171" s="36"/>
    </row>
    <row r="172" spans="1:10" ht="24" customHeight="1">
      <c r="A172" s="37">
        <v>832600</v>
      </c>
      <c r="B172" s="8" t="s">
        <v>217</v>
      </c>
      <c r="C172" s="5">
        <v>5.73</v>
      </c>
      <c r="D172" s="5"/>
      <c r="E172" s="5"/>
      <c r="F172" s="21">
        <v>6.2</v>
      </c>
      <c r="G172" s="5">
        <v>3.5</v>
      </c>
      <c r="H172" s="24">
        <f>F172*0.965</f>
        <v>5.9829999999999997</v>
      </c>
      <c r="I172" s="27"/>
      <c r="J172" s="40">
        <f>I172*H172</f>
        <v>0</v>
      </c>
    </row>
    <row r="173" spans="1:10" ht="24" customHeight="1">
      <c r="A173" s="37">
        <v>729878</v>
      </c>
      <c r="B173" s="8" t="s">
        <v>847</v>
      </c>
      <c r="C173" s="5">
        <v>26.44</v>
      </c>
      <c r="D173" s="5"/>
      <c r="E173" s="5"/>
      <c r="F173" s="21">
        <v>28.62</v>
      </c>
      <c r="G173" s="5">
        <v>3.5</v>
      </c>
      <c r="H173" s="24">
        <f>F173*0.965</f>
        <v>27.618300000000001</v>
      </c>
      <c r="I173" s="27"/>
      <c r="J173" s="40">
        <f>I173*H173</f>
        <v>0</v>
      </c>
    </row>
    <row r="174" spans="1:10" ht="24" customHeight="1">
      <c r="A174" s="37">
        <v>715238</v>
      </c>
      <c r="B174" s="8" t="s">
        <v>358</v>
      </c>
      <c r="C174" s="5">
        <v>5</v>
      </c>
      <c r="D174" s="5"/>
      <c r="E174" s="5"/>
      <c r="F174" s="21">
        <v>5.41</v>
      </c>
      <c r="G174" s="5">
        <v>3.5</v>
      </c>
      <c r="H174" s="24">
        <f t="shared" ref="H174:H175" si="65">F174*0.965</f>
        <v>5.22065</v>
      </c>
      <c r="I174" s="27"/>
      <c r="J174" s="40">
        <f t="shared" ref="J174" si="66">I174*H174</f>
        <v>0</v>
      </c>
    </row>
    <row r="175" spans="1:10" ht="24" customHeight="1">
      <c r="A175" s="37">
        <v>715236</v>
      </c>
      <c r="B175" s="8" t="s">
        <v>323</v>
      </c>
      <c r="C175" s="5">
        <v>10</v>
      </c>
      <c r="D175" s="5"/>
      <c r="E175" s="5"/>
      <c r="F175" s="21">
        <v>10.82</v>
      </c>
      <c r="G175" s="5">
        <v>3.5</v>
      </c>
      <c r="H175" s="24">
        <f t="shared" si="65"/>
        <v>10.4413</v>
      </c>
      <c r="I175" s="27"/>
      <c r="J175" s="40">
        <f>+I175*H175</f>
        <v>0</v>
      </c>
    </row>
    <row r="176" spans="1:10" ht="24" customHeight="1">
      <c r="A176" s="37">
        <v>688677</v>
      </c>
      <c r="B176" s="8" t="s">
        <v>312</v>
      </c>
      <c r="C176" s="5">
        <v>3.79</v>
      </c>
      <c r="D176" s="5"/>
      <c r="E176" s="5"/>
      <c r="F176" s="21">
        <v>4.0999999999999996</v>
      </c>
      <c r="G176" s="5">
        <v>3.5</v>
      </c>
      <c r="H176" s="24">
        <f t="shared" ref="H176:H177" si="67">F176*0.965</f>
        <v>3.9564999999999997</v>
      </c>
      <c r="I176" s="27"/>
      <c r="J176" s="40">
        <f t="shared" ref="J176:J177" si="68">I176*H176</f>
        <v>0</v>
      </c>
    </row>
    <row r="177" spans="1:10" ht="24" customHeight="1">
      <c r="A177" s="37">
        <v>688678</v>
      </c>
      <c r="B177" s="8" t="s">
        <v>313</v>
      </c>
      <c r="C177" s="5">
        <v>11.37</v>
      </c>
      <c r="D177" s="5"/>
      <c r="E177" s="5"/>
      <c r="F177" s="21">
        <v>12.31</v>
      </c>
      <c r="G177" s="5">
        <v>3.5</v>
      </c>
      <c r="H177" s="24">
        <f t="shared" si="67"/>
        <v>11.879149999999999</v>
      </c>
      <c r="I177" s="27"/>
      <c r="J177" s="40">
        <f t="shared" si="68"/>
        <v>0</v>
      </c>
    </row>
    <row r="178" spans="1:10" ht="24" customHeight="1">
      <c r="A178" s="37">
        <v>698271</v>
      </c>
      <c r="B178" s="8" t="s">
        <v>295</v>
      </c>
      <c r="C178" s="5">
        <v>30.5</v>
      </c>
      <c r="D178" s="5"/>
      <c r="E178" s="5"/>
      <c r="F178" s="21">
        <v>33.01</v>
      </c>
      <c r="G178" s="5">
        <v>3.5</v>
      </c>
      <c r="H178" s="24">
        <f t="shared" ref="H178:H182" si="69">F178*0.965</f>
        <v>31.854649999999996</v>
      </c>
      <c r="I178" s="27"/>
      <c r="J178" s="40">
        <f t="shared" ref="J178:J182" si="70">I178*H178</f>
        <v>0</v>
      </c>
    </row>
    <row r="179" spans="1:10" ht="24" customHeight="1">
      <c r="A179" s="37">
        <v>725397</v>
      </c>
      <c r="B179" s="8" t="s">
        <v>819</v>
      </c>
      <c r="C179" s="5">
        <v>15.58</v>
      </c>
      <c r="D179" s="5"/>
      <c r="E179" s="5"/>
      <c r="F179" s="21">
        <v>16.86</v>
      </c>
      <c r="G179" s="5">
        <v>3.5</v>
      </c>
      <c r="H179" s="24">
        <f t="shared" ref="H179:H181" si="71">F179*0.965</f>
        <v>16.2699</v>
      </c>
      <c r="I179" s="27"/>
      <c r="J179" s="40">
        <f t="shared" ref="J179:J181" si="72">I179*H179</f>
        <v>0</v>
      </c>
    </row>
    <row r="180" spans="1:10" ht="24" customHeight="1">
      <c r="A180" s="37">
        <v>719066</v>
      </c>
      <c r="B180" s="8" t="s">
        <v>820</v>
      </c>
      <c r="C180" s="5">
        <v>26.86</v>
      </c>
      <c r="D180" s="5"/>
      <c r="E180" s="5"/>
      <c r="F180" s="21">
        <v>29.07</v>
      </c>
      <c r="G180" s="5">
        <v>3.5</v>
      </c>
      <c r="H180" s="24">
        <f t="shared" si="71"/>
        <v>28.05255</v>
      </c>
      <c r="I180" s="27"/>
      <c r="J180" s="40">
        <f t="shared" si="72"/>
        <v>0</v>
      </c>
    </row>
    <row r="181" spans="1:10" ht="24" customHeight="1">
      <c r="A181" s="37">
        <v>719073</v>
      </c>
      <c r="B181" s="8" t="s">
        <v>821</v>
      </c>
      <c r="C181" s="5">
        <v>42.97</v>
      </c>
      <c r="D181" s="5"/>
      <c r="E181" s="5"/>
      <c r="F181" s="21">
        <v>46.5</v>
      </c>
      <c r="G181" s="5">
        <v>3.5</v>
      </c>
      <c r="H181" s="24">
        <f t="shared" si="71"/>
        <v>44.872499999999995</v>
      </c>
      <c r="I181" s="27"/>
      <c r="J181" s="40">
        <f t="shared" si="72"/>
        <v>0</v>
      </c>
    </row>
    <row r="182" spans="1:10" ht="24" customHeight="1">
      <c r="A182" s="37">
        <v>700642</v>
      </c>
      <c r="B182" s="8" t="s">
        <v>296</v>
      </c>
      <c r="C182" s="5">
        <v>26</v>
      </c>
      <c r="D182" s="5"/>
      <c r="E182" s="5"/>
      <c r="F182" s="21">
        <v>28.14</v>
      </c>
      <c r="G182" s="5">
        <v>3.5</v>
      </c>
      <c r="H182" s="24">
        <f t="shared" si="69"/>
        <v>27.155100000000001</v>
      </c>
      <c r="I182" s="27"/>
      <c r="J182" s="40">
        <f t="shared" si="70"/>
        <v>0</v>
      </c>
    </row>
    <row r="183" spans="1:10" ht="24" customHeight="1">
      <c r="A183" s="337" t="s">
        <v>86</v>
      </c>
      <c r="B183" s="342"/>
      <c r="C183" s="342"/>
      <c r="D183" s="342"/>
      <c r="E183" s="342"/>
      <c r="F183" s="342"/>
      <c r="G183" s="342"/>
      <c r="H183" s="343"/>
      <c r="I183" s="27"/>
      <c r="J183" s="36"/>
    </row>
    <row r="184" spans="1:10" ht="24" customHeight="1">
      <c r="A184" s="37">
        <v>875377</v>
      </c>
      <c r="B184" s="8" t="s">
        <v>88</v>
      </c>
      <c r="C184" s="5">
        <v>4.0999999999999996</v>
      </c>
      <c r="D184" s="5"/>
      <c r="E184" s="5"/>
      <c r="F184" s="21">
        <v>4.43</v>
      </c>
      <c r="G184" s="5">
        <v>3.5</v>
      </c>
      <c r="H184" s="24">
        <f t="shared" ref="H184:H189" si="73">F184*0.965</f>
        <v>4.2749499999999996</v>
      </c>
      <c r="I184" s="27"/>
      <c r="J184" s="38">
        <f t="shared" ref="J184:J202" si="74">+I184*H184</f>
        <v>0</v>
      </c>
    </row>
    <row r="185" spans="1:10" ht="24" customHeight="1">
      <c r="A185" s="37">
        <v>650682</v>
      </c>
      <c r="B185" s="8" t="s">
        <v>112</v>
      </c>
      <c r="C185" s="5">
        <v>20.96</v>
      </c>
      <c r="D185" s="5"/>
      <c r="E185" s="5"/>
      <c r="F185" s="21">
        <v>22.68</v>
      </c>
      <c r="G185" s="5">
        <v>3.5</v>
      </c>
      <c r="H185" s="24">
        <f t="shared" si="73"/>
        <v>21.886199999999999</v>
      </c>
      <c r="I185" s="27"/>
      <c r="J185" s="40">
        <f t="shared" si="74"/>
        <v>0</v>
      </c>
    </row>
    <row r="186" spans="1:10" ht="24" customHeight="1">
      <c r="A186" s="37">
        <v>654776</v>
      </c>
      <c r="B186" s="8" t="s">
        <v>113</v>
      </c>
      <c r="C186" s="5">
        <v>20.96</v>
      </c>
      <c r="D186" s="5"/>
      <c r="E186" s="5"/>
      <c r="F186" s="21">
        <v>22.68</v>
      </c>
      <c r="G186" s="5">
        <v>3.5</v>
      </c>
      <c r="H186" s="24">
        <f t="shared" si="73"/>
        <v>21.886199999999999</v>
      </c>
      <c r="I186" s="27"/>
      <c r="J186" s="40">
        <f t="shared" si="74"/>
        <v>0</v>
      </c>
    </row>
    <row r="187" spans="1:10" ht="24" customHeight="1">
      <c r="A187" s="37">
        <v>671969</v>
      </c>
      <c r="B187" s="8" t="s">
        <v>114</v>
      </c>
      <c r="C187" s="5">
        <v>18.100000000000001</v>
      </c>
      <c r="D187" s="5"/>
      <c r="E187" s="5"/>
      <c r="F187" s="21">
        <v>19.59</v>
      </c>
      <c r="G187" s="5">
        <v>3.5</v>
      </c>
      <c r="H187" s="24">
        <f t="shared" si="73"/>
        <v>18.904350000000001</v>
      </c>
      <c r="I187" s="27"/>
      <c r="J187" s="40">
        <f t="shared" si="74"/>
        <v>0</v>
      </c>
    </row>
    <row r="188" spans="1:10" ht="24" customHeight="1">
      <c r="A188" s="37">
        <v>671968</v>
      </c>
      <c r="B188" s="8" t="s">
        <v>115</v>
      </c>
      <c r="C188" s="5">
        <v>34.96</v>
      </c>
      <c r="D188" s="5"/>
      <c r="E188" s="5"/>
      <c r="F188" s="21">
        <v>37.840000000000003</v>
      </c>
      <c r="G188" s="5">
        <v>3.5</v>
      </c>
      <c r="H188" s="24">
        <f t="shared" si="73"/>
        <v>36.515599999999999</v>
      </c>
      <c r="I188" s="27"/>
      <c r="J188" s="40">
        <f t="shared" si="74"/>
        <v>0</v>
      </c>
    </row>
    <row r="189" spans="1:10" ht="24" customHeight="1">
      <c r="A189" s="37">
        <v>672007</v>
      </c>
      <c r="B189" s="8" t="s">
        <v>116</v>
      </c>
      <c r="C189" s="5">
        <v>90.55</v>
      </c>
      <c r="D189" s="5"/>
      <c r="E189" s="5"/>
      <c r="F189" s="21">
        <v>98</v>
      </c>
      <c r="G189" s="5">
        <v>3.5</v>
      </c>
      <c r="H189" s="24">
        <f t="shared" si="73"/>
        <v>94.57</v>
      </c>
      <c r="I189" s="27"/>
      <c r="J189" s="40">
        <f t="shared" si="74"/>
        <v>0</v>
      </c>
    </row>
    <row r="190" spans="1:10" ht="24" customHeight="1">
      <c r="A190" s="37">
        <v>672002</v>
      </c>
      <c r="B190" s="8" t="s">
        <v>117</v>
      </c>
      <c r="C190" s="5">
        <v>237.88</v>
      </c>
      <c r="D190" s="5"/>
      <c r="E190" s="5"/>
      <c r="F190" s="21">
        <v>245.42</v>
      </c>
      <c r="G190" s="5">
        <v>1.5</v>
      </c>
      <c r="H190" s="24">
        <f>F190*0.985</f>
        <v>241.73869999999999</v>
      </c>
      <c r="I190" s="27"/>
      <c r="J190" s="40">
        <f t="shared" si="74"/>
        <v>0</v>
      </c>
    </row>
    <row r="191" spans="1:10" ht="24" customHeight="1">
      <c r="A191" s="37">
        <v>671964</v>
      </c>
      <c r="B191" s="8" t="s">
        <v>118</v>
      </c>
      <c r="C191" s="5">
        <v>113.75</v>
      </c>
      <c r="D191" s="5"/>
      <c r="E191" s="5"/>
      <c r="F191" s="21">
        <v>121.29</v>
      </c>
      <c r="G191" s="5">
        <v>1.5</v>
      </c>
      <c r="H191" s="24">
        <f>F191*0.985</f>
        <v>119.47065000000001</v>
      </c>
      <c r="I191" s="27"/>
      <c r="J191" s="40">
        <f t="shared" si="74"/>
        <v>0</v>
      </c>
    </row>
    <row r="192" spans="1:10" ht="24" customHeight="1">
      <c r="A192" s="37">
        <v>672000</v>
      </c>
      <c r="B192" s="8" t="s">
        <v>119</v>
      </c>
      <c r="C192" s="5">
        <v>294.57</v>
      </c>
      <c r="D192" s="5"/>
      <c r="E192" s="5"/>
      <c r="F192" s="21">
        <v>302.11</v>
      </c>
      <c r="G192" s="5">
        <v>1.5</v>
      </c>
      <c r="H192" s="24">
        <f>F192*0.985</f>
        <v>297.57835</v>
      </c>
      <c r="I192" s="27"/>
      <c r="J192" s="40">
        <f t="shared" si="74"/>
        <v>0</v>
      </c>
    </row>
    <row r="193" spans="1:10" ht="24" customHeight="1">
      <c r="A193" s="37">
        <v>719304</v>
      </c>
      <c r="B193" s="8" t="s">
        <v>382</v>
      </c>
      <c r="C193" s="5">
        <v>26.02</v>
      </c>
      <c r="D193" s="5"/>
      <c r="E193" s="5"/>
      <c r="F193" s="21">
        <v>28.16</v>
      </c>
      <c r="G193" s="5">
        <v>3.5</v>
      </c>
      <c r="H193" s="24">
        <f t="shared" ref="H193:H194" si="75">F193*0.965</f>
        <v>27.174399999999999</v>
      </c>
      <c r="I193" s="27"/>
      <c r="J193" s="40">
        <f t="shared" ref="J193:J194" si="76">+I193*H193</f>
        <v>0</v>
      </c>
    </row>
    <row r="194" spans="1:10" ht="24" customHeight="1">
      <c r="A194" s="37">
        <v>719306</v>
      </c>
      <c r="B194" s="8" t="s">
        <v>383</v>
      </c>
      <c r="C194" s="5">
        <v>69.3</v>
      </c>
      <c r="D194" s="5"/>
      <c r="E194" s="5"/>
      <c r="F194" s="21">
        <v>75</v>
      </c>
      <c r="G194" s="5">
        <v>3.5</v>
      </c>
      <c r="H194" s="24">
        <f t="shared" si="75"/>
        <v>72.375</v>
      </c>
      <c r="I194" s="27"/>
      <c r="J194" s="40">
        <f t="shared" si="76"/>
        <v>0</v>
      </c>
    </row>
    <row r="195" spans="1:10" ht="24" customHeight="1">
      <c r="A195" s="37">
        <v>711319</v>
      </c>
      <c r="B195" s="8" t="s">
        <v>322</v>
      </c>
      <c r="C195" s="5">
        <v>59.36</v>
      </c>
      <c r="D195" s="5"/>
      <c r="E195" s="5"/>
      <c r="F195" s="21">
        <v>64.239999999999995</v>
      </c>
      <c r="G195" s="5">
        <v>3.5</v>
      </c>
      <c r="H195" s="24">
        <f t="shared" ref="H195" si="77">F195*0.965</f>
        <v>61.991599999999991</v>
      </c>
      <c r="I195" s="27"/>
      <c r="J195" s="40">
        <f t="shared" ref="J195" si="78">+I195*H195</f>
        <v>0</v>
      </c>
    </row>
    <row r="196" spans="1:10" ht="24" customHeight="1">
      <c r="A196" s="37">
        <v>711320</v>
      </c>
      <c r="B196" s="8" t="s">
        <v>321</v>
      </c>
      <c r="C196" s="5">
        <v>118.72</v>
      </c>
      <c r="D196" s="5"/>
      <c r="E196" s="5"/>
      <c r="F196" s="21">
        <v>126.12100000000001</v>
      </c>
      <c r="G196" s="5">
        <v>2</v>
      </c>
      <c r="H196" s="24">
        <f>F196*0.98</f>
        <v>123.59858000000001</v>
      </c>
      <c r="I196" s="27"/>
      <c r="J196" s="40">
        <f t="shared" ref="J196" si="79">+I196*H196</f>
        <v>0</v>
      </c>
    </row>
    <row r="197" spans="1:10" ht="24" customHeight="1">
      <c r="A197" s="37">
        <v>711321</v>
      </c>
      <c r="B197" s="8" t="s">
        <v>335</v>
      </c>
      <c r="C197" s="5">
        <v>118.72</v>
      </c>
      <c r="D197" s="5"/>
      <c r="E197" s="5"/>
      <c r="F197" s="21">
        <v>126.12</v>
      </c>
      <c r="G197" s="5">
        <v>2</v>
      </c>
      <c r="H197" s="24">
        <f>F197*0.98</f>
        <v>123.5976</v>
      </c>
      <c r="I197" s="27"/>
      <c r="J197" s="40">
        <f t="shared" ref="J197" si="80">+I197*H197</f>
        <v>0</v>
      </c>
    </row>
    <row r="198" spans="1:10" ht="24" customHeight="1">
      <c r="A198" s="37">
        <v>704113</v>
      </c>
      <c r="B198" s="8" t="s">
        <v>120</v>
      </c>
      <c r="C198" s="5">
        <v>29.39</v>
      </c>
      <c r="D198" s="5"/>
      <c r="E198" s="5"/>
      <c r="F198" s="21">
        <v>31.81</v>
      </c>
      <c r="G198" s="5">
        <v>3.5</v>
      </c>
      <c r="H198" s="24">
        <f t="shared" ref="H198:H202" si="81">F198*0.965</f>
        <v>30.696649999999998</v>
      </c>
      <c r="I198" s="27"/>
      <c r="J198" s="38">
        <f t="shared" si="74"/>
        <v>0</v>
      </c>
    </row>
    <row r="199" spans="1:10" ht="24" customHeight="1">
      <c r="A199" s="37">
        <v>704107</v>
      </c>
      <c r="B199" s="8" t="s">
        <v>156</v>
      </c>
      <c r="C199" s="5">
        <v>24.96</v>
      </c>
      <c r="D199" s="5"/>
      <c r="E199" s="5"/>
      <c r="F199" s="21">
        <v>27.02</v>
      </c>
      <c r="G199" s="5">
        <v>3.5</v>
      </c>
      <c r="H199" s="24">
        <f t="shared" si="81"/>
        <v>26.074299999999997</v>
      </c>
      <c r="I199" s="27"/>
      <c r="J199" s="38">
        <f t="shared" si="74"/>
        <v>0</v>
      </c>
    </row>
    <row r="200" spans="1:10" ht="24" customHeight="1">
      <c r="A200" s="37">
        <v>704120</v>
      </c>
      <c r="B200" s="8" t="s">
        <v>215</v>
      </c>
      <c r="C200" s="5">
        <v>38.24</v>
      </c>
      <c r="D200" s="5"/>
      <c r="E200" s="5"/>
      <c r="F200" s="21">
        <v>41.39</v>
      </c>
      <c r="G200" s="5">
        <v>3.5</v>
      </c>
      <c r="H200" s="24">
        <f t="shared" si="81"/>
        <v>39.94135</v>
      </c>
      <c r="I200" s="27"/>
      <c r="J200" s="38">
        <f t="shared" si="74"/>
        <v>0</v>
      </c>
    </row>
    <row r="201" spans="1:10" ht="24" customHeight="1">
      <c r="A201" s="37">
        <v>702409</v>
      </c>
      <c r="B201" s="8" t="s">
        <v>123</v>
      </c>
      <c r="C201" s="5">
        <v>45</v>
      </c>
      <c r="D201" s="5"/>
      <c r="E201" s="5"/>
      <c r="F201" s="21">
        <v>48.7</v>
      </c>
      <c r="G201" s="5">
        <v>3.5</v>
      </c>
      <c r="H201" s="24">
        <f t="shared" si="81"/>
        <v>46.9955</v>
      </c>
      <c r="I201" s="27"/>
      <c r="J201" s="40">
        <f t="shared" si="74"/>
        <v>0</v>
      </c>
    </row>
    <row r="202" spans="1:10" ht="24" customHeight="1">
      <c r="A202" s="37">
        <v>703094</v>
      </c>
      <c r="B202" s="8" t="s">
        <v>124</v>
      </c>
      <c r="C202" s="5">
        <v>36.340000000000003</v>
      </c>
      <c r="D202" s="5"/>
      <c r="E202" s="5"/>
      <c r="F202" s="21">
        <v>39.33</v>
      </c>
      <c r="G202" s="5">
        <v>3.5</v>
      </c>
      <c r="H202" s="24">
        <f t="shared" si="81"/>
        <v>37.953449999999997</v>
      </c>
      <c r="I202" s="27"/>
      <c r="J202" s="40">
        <f t="shared" si="74"/>
        <v>0</v>
      </c>
    </row>
    <row r="203" spans="1:10" ht="24" customHeight="1">
      <c r="A203" s="340" t="s">
        <v>152</v>
      </c>
      <c r="B203" s="341"/>
      <c r="C203" s="341"/>
      <c r="D203" s="341"/>
      <c r="E203" s="341"/>
      <c r="F203" s="341"/>
      <c r="G203" s="341"/>
      <c r="H203" s="341"/>
      <c r="I203" s="29"/>
      <c r="J203" s="41"/>
    </row>
    <row r="204" spans="1:10" ht="24" customHeight="1">
      <c r="A204" s="37">
        <v>165891</v>
      </c>
      <c r="B204" s="8" t="s">
        <v>153</v>
      </c>
      <c r="C204" s="13">
        <v>10.4</v>
      </c>
      <c r="D204" s="5"/>
      <c r="E204" s="5">
        <f>+C204</f>
        <v>10.4</v>
      </c>
      <c r="F204" s="5"/>
      <c r="G204" s="5"/>
      <c r="H204" s="24"/>
      <c r="I204" s="27"/>
      <c r="J204" s="38">
        <f>E204*I204</f>
        <v>0</v>
      </c>
    </row>
    <row r="205" spans="1:10" ht="24" customHeight="1">
      <c r="A205" s="37">
        <v>173050</v>
      </c>
      <c r="B205" s="8" t="s">
        <v>159</v>
      </c>
      <c r="C205" s="13">
        <v>13</v>
      </c>
      <c r="D205" s="5"/>
      <c r="E205" s="5">
        <f>+C205</f>
        <v>13</v>
      </c>
      <c r="F205" s="5"/>
      <c r="G205" s="5"/>
      <c r="H205" s="24"/>
      <c r="I205" s="27"/>
      <c r="J205" s="38">
        <f t="shared" ref="J205:J206" si="82">E205*I205</f>
        <v>0</v>
      </c>
    </row>
    <row r="206" spans="1:10" ht="24" customHeight="1">
      <c r="A206" s="37">
        <v>165892</v>
      </c>
      <c r="B206" s="8" t="s">
        <v>154</v>
      </c>
      <c r="C206" s="13">
        <v>11.4</v>
      </c>
      <c r="D206" s="5"/>
      <c r="E206" s="5">
        <f>+C206</f>
        <v>11.4</v>
      </c>
      <c r="F206" s="5"/>
      <c r="G206" s="5"/>
      <c r="H206" s="24"/>
      <c r="I206" s="27"/>
      <c r="J206" s="38">
        <f t="shared" si="82"/>
        <v>0</v>
      </c>
    </row>
    <row r="207" spans="1:10" ht="24" customHeight="1">
      <c r="A207" s="340" t="s">
        <v>547</v>
      </c>
      <c r="B207" s="341"/>
      <c r="C207" s="341"/>
      <c r="D207" s="341"/>
      <c r="E207" s="341"/>
      <c r="F207" s="341"/>
      <c r="G207" s="341"/>
      <c r="H207" s="341"/>
      <c r="I207" s="29"/>
      <c r="J207" s="41"/>
    </row>
    <row r="208" spans="1:10" ht="24" customHeight="1">
      <c r="A208" s="37">
        <v>679290</v>
      </c>
      <c r="B208" s="8" t="s">
        <v>548</v>
      </c>
      <c r="C208" s="5">
        <v>6.42</v>
      </c>
      <c r="D208" s="5"/>
      <c r="E208" s="5"/>
      <c r="F208" s="21">
        <v>6.95</v>
      </c>
      <c r="G208" s="5">
        <v>3.5</v>
      </c>
      <c r="H208" s="24">
        <f>+F208*0.965</f>
        <v>6.7067499999999995</v>
      </c>
      <c r="I208" s="27"/>
      <c r="J208" s="40">
        <f>+I208*H208</f>
        <v>0</v>
      </c>
    </row>
    <row r="209" spans="1:10" ht="24" customHeight="1">
      <c r="A209" s="340" t="s">
        <v>693</v>
      </c>
      <c r="B209" s="341"/>
      <c r="C209" s="341"/>
      <c r="D209" s="341"/>
      <c r="E209" s="341"/>
      <c r="F209" s="341"/>
      <c r="G209" s="341"/>
      <c r="H209" s="341"/>
      <c r="I209" s="29"/>
      <c r="J209" s="41"/>
    </row>
    <row r="210" spans="1:10" ht="24" customHeight="1">
      <c r="A210" s="37">
        <v>664770</v>
      </c>
      <c r="B210" s="8" t="s">
        <v>694</v>
      </c>
      <c r="C210" s="5">
        <v>27.88</v>
      </c>
      <c r="D210" s="5"/>
      <c r="E210" s="5"/>
      <c r="F210" s="21">
        <v>30.17</v>
      </c>
      <c r="G210" s="5">
        <v>3.5</v>
      </c>
      <c r="H210" s="24">
        <f>+F210*0.965</f>
        <v>29.114050000000002</v>
      </c>
      <c r="I210" s="27"/>
      <c r="J210" s="40">
        <f>+I210*H210</f>
        <v>0</v>
      </c>
    </row>
    <row r="211" spans="1:10" ht="24" customHeight="1">
      <c r="A211" s="37">
        <v>677460</v>
      </c>
      <c r="B211" s="8" t="s">
        <v>745</v>
      </c>
      <c r="C211" s="5">
        <v>28.91</v>
      </c>
      <c r="D211" s="5"/>
      <c r="E211" s="5"/>
      <c r="F211" s="21">
        <v>31.29</v>
      </c>
      <c r="G211" s="5">
        <v>3.5</v>
      </c>
      <c r="H211" s="24">
        <f>+F211*0.965</f>
        <v>30.194849999999999</v>
      </c>
      <c r="I211" s="27"/>
      <c r="J211" s="40">
        <f>+I211*H211</f>
        <v>0</v>
      </c>
    </row>
    <row r="212" spans="1:10" ht="24" customHeight="1">
      <c r="A212" s="37">
        <v>684706</v>
      </c>
      <c r="B212" s="8" t="s">
        <v>740</v>
      </c>
      <c r="C212" s="5">
        <v>92.07</v>
      </c>
      <c r="D212" s="5"/>
      <c r="E212" s="5"/>
      <c r="F212" s="21">
        <v>99.61</v>
      </c>
      <c r="G212" s="5">
        <v>3.5</v>
      </c>
      <c r="H212" s="24">
        <f>+F212*0.965</f>
        <v>96.123649999999998</v>
      </c>
      <c r="I212" s="27"/>
      <c r="J212" s="40">
        <f>+I212*H212</f>
        <v>0</v>
      </c>
    </row>
    <row r="213" spans="1:10" ht="24" customHeight="1">
      <c r="A213" s="340" t="s">
        <v>268</v>
      </c>
      <c r="B213" s="341"/>
      <c r="C213" s="341"/>
      <c r="D213" s="341"/>
      <c r="E213" s="341"/>
      <c r="F213" s="341"/>
      <c r="G213" s="341"/>
      <c r="H213" s="341"/>
      <c r="I213" s="29"/>
      <c r="J213" s="41"/>
    </row>
    <row r="214" spans="1:10" ht="24" customHeight="1">
      <c r="A214" s="37">
        <v>887851</v>
      </c>
      <c r="B214" s="8" t="s">
        <v>269</v>
      </c>
      <c r="C214" s="5">
        <v>16.55</v>
      </c>
      <c r="D214" s="5"/>
      <c r="E214" s="5"/>
      <c r="F214" s="21">
        <v>17.91</v>
      </c>
      <c r="G214" s="5">
        <v>5.5</v>
      </c>
      <c r="H214" s="24">
        <f>+F214*0.945</f>
        <v>16.924949999999999</v>
      </c>
      <c r="I214" s="27"/>
      <c r="J214" s="40">
        <f>+I214*H214</f>
        <v>0</v>
      </c>
    </row>
    <row r="215" spans="1:10" ht="24" customHeight="1">
      <c r="A215" s="37">
        <v>708023</v>
      </c>
      <c r="B215" s="9" t="s">
        <v>399</v>
      </c>
      <c r="C215" s="5">
        <v>12.63</v>
      </c>
      <c r="D215" s="5"/>
      <c r="E215" s="5"/>
      <c r="F215" s="21">
        <v>13.67</v>
      </c>
      <c r="G215" s="5">
        <v>5.5</v>
      </c>
      <c r="H215" s="24">
        <f>+F215*0.945</f>
        <v>12.918149999999999</v>
      </c>
      <c r="I215" s="27"/>
      <c r="J215" s="40">
        <f>+I215*H215</f>
        <v>0</v>
      </c>
    </row>
    <row r="216" spans="1:10" ht="24" customHeight="1">
      <c r="A216" s="37">
        <v>708020</v>
      </c>
      <c r="B216" s="9" t="s">
        <v>476</v>
      </c>
      <c r="C216" s="5">
        <v>6.32</v>
      </c>
      <c r="D216" s="5"/>
      <c r="E216" s="5"/>
      <c r="F216" s="21">
        <v>6.84</v>
      </c>
      <c r="G216" s="5">
        <v>5.5</v>
      </c>
      <c r="H216" s="24">
        <f t="shared" ref="H216" si="83">+F216*0.945</f>
        <v>6.4637999999999991</v>
      </c>
      <c r="I216" s="27"/>
      <c r="J216" s="40">
        <f t="shared" ref="J216" si="84">+I216*H216</f>
        <v>0</v>
      </c>
    </row>
    <row r="217" spans="1:10" ht="24" customHeight="1">
      <c r="A217" s="37">
        <v>723768</v>
      </c>
      <c r="B217" s="9" t="s">
        <v>486</v>
      </c>
      <c r="C217" s="5">
        <v>9.4700000000000006</v>
      </c>
      <c r="D217" s="5"/>
      <c r="E217" s="5"/>
      <c r="F217" s="21">
        <v>10.25</v>
      </c>
      <c r="G217" s="5">
        <v>5.5</v>
      </c>
      <c r="H217" s="24">
        <f>+F217*0.945</f>
        <v>9.6862499999999994</v>
      </c>
      <c r="I217" s="27"/>
      <c r="J217" s="40">
        <f>+I217*H217</f>
        <v>0</v>
      </c>
    </row>
    <row r="218" spans="1:10" ht="24" customHeight="1">
      <c r="A218" s="37">
        <v>708020</v>
      </c>
      <c r="B218" s="9" t="s">
        <v>488</v>
      </c>
      <c r="C218" s="5">
        <v>6.38</v>
      </c>
      <c r="D218" s="5"/>
      <c r="E218" s="5"/>
      <c r="F218" s="21">
        <v>6.91</v>
      </c>
      <c r="G218" s="5">
        <v>5.5</v>
      </c>
      <c r="H218" s="24">
        <f>+F218*0.945</f>
        <v>6.5299499999999995</v>
      </c>
      <c r="I218" s="27"/>
      <c r="J218" s="40">
        <f>+I218*H218</f>
        <v>0</v>
      </c>
    </row>
    <row r="219" spans="1:10" ht="24" customHeight="1">
      <c r="A219" s="37">
        <v>700107</v>
      </c>
      <c r="B219" s="8" t="s">
        <v>299</v>
      </c>
      <c r="C219" s="5">
        <v>5.6</v>
      </c>
      <c r="D219" s="5"/>
      <c r="E219" s="5"/>
      <c r="F219" s="21">
        <v>6.06</v>
      </c>
      <c r="G219" s="5">
        <v>5.5</v>
      </c>
      <c r="H219" s="24">
        <f>+F219*0.945</f>
        <v>5.7266999999999992</v>
      </c>
      <c r="I219" s="27"/>
      <c r="J219" s="40">
        <f t="shared" ref="J219:J230" si="85">+I219*H219</f>
        <v>0</v>
      </c>
    </row>
    <row r="220" spans="1:10" ht="24" customHeight="1">
      <c r="A220" s="37">
        <v>700108</v>
      </c>
      <c r="B220" s="8" t="s">
        <v>345</v>
      </c>
      <c r="C220" s="5">
        <v>11.2</v>
      </c>
      <c r="D220" s="5"/>
      <c r="E220" s="5"/>
      <c r="F220" s="21">
        <v>12.12</v>
      </c>
      <c r="G220" s="5">
        <v>5.5</v>
      </c>
      <c r="H220" s="24">
        <f>+F220*0.945</f>
        <v>11.453399999999998</v>
      </c>
      <c r="I220" s="27"/>
      <c r="J220" s="40">
        <f t="shared" ref="J220" si="86">+I220*H220</f>
        <v>0</v>
      </c>
    </row>
    <row r="221" spans="1:10" ht="24" customHeight="1">
      <c r="A221" s="37">
        <v>700109</v>
      </c>
      <c r="B221" s="8" t="s">
        <v>346</v>
      </c>
      <c r="C221" s="5">
        <v>8.4</v>
      </c>
      <c r="D221" s="5"/>
      <c r="E221" s="5"/>
      <c r="F221" s="21">
        <v>9.09</v>
      </c>
      <c r="G221" s="5">
        <v>5.5</v>
      </c>
      <c r="H221" s="24">
        <f t="shared" ref="H221:H226" si="87">+F221*0.945</f>
        <v>8.5900499999999997</v>
      </c>
      <c r="I221" s="27"/>
      <c r="J221" s="40">
        <f t="shared" ref="J221:J226" si="88">+I221*H221</f>
        <v>0</v>
      </c>
    </row>
    <row r="222" spans="1:10" ht="24" customHeight="1">
      <c r="A222" s="37">
        <v>700111</v>
      </c>
      <c r="B222" s="8" t="s">
        <v>347</v>
      </c>
      <c r="C222" s="5">
        <v>11.2</v>
      </c>
      <c r="D222" s="5"/>
      <c r="E222" s="5"/>
      <c r="F222" s="21">
        <v>12.12</v>
      </c>
      <c r="G222" s="5">
        <v>5.5</v>
      </c>
      <c r="H222" s="24">
        <f t="shared" si="87"/>
        <v>11.453399999999998</v>
      </c>
      <c r="I222" s="27"/>
      <c r="J222" s="40">
        <f t="shared" si="88"/>
        <v>0</v>
      </c>
    </row>
    <row r="223" spans="1:10" ht="24" customHeight="1">
      <c r="A223" s="37">
        <v>700114</v>
      </c>
      <c r="B223" s="8" t="s">
        <v>751</v>
      </c>
      <c r="C223" s="5">
        <v>22.4</v>
      </c>
      <c r="D223" s="5"/>
      <c r="E223" s="5"/>
      <c r="F223" s="21">
        <v>24.24</v>
      </c>
      <c r="G223" s="5">
        <v>5.5</v>
      </c>
      <c r="H223" s="24">
        <f t="shared" ref="H223:H225" si="89">+F223*0.945</f>
        <v>22.906799999999997</v>
      </c>
      <c r="I223" s="27"/>
      <c r="J223" s="40">
        <f t="shared" ref="J223:J225" si="90">+I223*H223</f>
        <v>0</v>
      </c>
    </row>
    <row r="224" spans="1:10" ht="24" customHeight="1">
      <c r="A224" s="37">
        <v>700110</v>
      </c>
      <c r="B224" s="8" t="s">
        <v>752</v>
      </c>
      <c r="C224" s="5">
        <v>16.8</v>
      </c>
      <c r="D224" s="5"/>
      <c r="E224" s="5"/>
      <c r="F224" s="21">
        <v>18.18</v>
      </c>
      <c r="G224" s="5">
        <v>5.5</v>
      </c>
      <c r="H224" s="24">
        <f t="shared" si="89"/>
        <v>17.180099999999999</v>
      </c>
      <c r="I224" s="27"/>
      <c r="J224" s="40">
        <f t="shared" si="90"/>
        <v>0</v>
      </c>
    </row>
    <row r="225" spans="1:10" ht="24" customHeight="1">
      <c r="A225" s="37">
        <v>724431</v>
      </c>
      <c r="B225" s="8" t="s">
        <v>753</v>
      </c>
      <c r="C225" s="5">
        <v>12.91</v>
      </c>
      <c r="D225" s="5"/>
      <c r="E225" s="5"/>
      <c r="F225" s="21">
        <v>13.97</v>
      </c>
      <c r="G225" s="5">
        <v>5.5</v>
      </c>
      <c r="H225" s="24">
        <f t="shared" si="89"/>
        <v>13.201650000000001</v>
      </c>
      <c r="I225" s="27"/>
      <c r="J225" s="40">
        <f t="shared" si="90"/>
        <v>0</v>
      </c>
    </row>
    <row r="226" spans="1:10" ht="24" customHeight="1">
      <c r="A226" s="37">
        <v>681027</v>
      </c>
      <c r="B226" s="8" t="s">
        <v>348</v>
      </c>
      <c r="C226" s="5">
        <v>41.74</v>
      </c>
      <c r="D226" s="5"/>
      <c r="E226" s="5"/>
      <c r="F226" s="21">
        <v>45.17</v>
      </c>
      <c r="G226" s="5">
        <v>5.5</v>
      </c>
      <c r="H226" s="24">
        <f t="shared" si="87"/>
        <v>42.685650000000003</v>
      </c>
      <c r="I226" s="27"/>
      <c r="J226" s="40">
        <f t="shared" si="88"/>
        <v>0</v>
      </c>
    </row>
    <row r="227" spans="1:10" ht="24" customHeight="1">
      <c r="A227" s="37">
        <v>681025</v>
      </c>
      <c r="B227" s="8" t="s">
        <v>487</v>
      </c>
      <c r="C227" s="5">
        <v>20.87</v>
      </c>
      <c r="D227" s="5"/>
      <c r="E227" s="5"/>
      <c r="F227" s="21">
        <v>22.59</v>
      </c>
      <c r="G227" s="5">
        <v>5.5</v>
      </c>
      <c r="H227" s="24">
        <f t="shared" ref="H227" si="91">+F227*0.945</f>
        <v>21.347549999999998</v>
      </c>
      <c r="I227" s="27"/>
      <c r="J227" s="40">
        <f t="shared" ref="J227" si="92">+I227*H227</f>
        <v>0</v>
      </c>
    </row>
    <row r="228" spans="1:10" ht="24" customHeight="1">
      <c r="A228" s="37">
        <v>660239</v>
      </c>
      <c r="B228" s="8" t="s">
        <v>300</v>
      </c>
      <c r="C228" s="5">
        <v>2.62</v>
      </c>
      <c r="D228" s="5"/>
      <c r="E228" s="5"/>
      <c r="F228" s="21">
        <v>2.83</v>
      </c>
      <c r="G228" s="5">
        <v>5.5</v>
      </c>
      <c r="H228" s="24">
        <f>+F228*0.945</f>
        <v>2.67435</v>
      </c>
      <c r="I228" s="27"/>
      <c r="J228" s="40">
        <f t="shared" si="85"/>
        <v>0</v>
      </c>
    </row>
    <row r="229" spans="1:10" ht="24" customHeight="1">
      <c r="A229" s="37">
        <v>730842</v>
      </c>
      <c r="B229" s="8" t="s">
        <v>301</v>
      </c>
      <c r="C229" s="5">
        <v>5.24</v>
      </c>
      <c r="D229" s="5"/>
      <c r="E229" s="5"/>
      <c r="F229" s="21">
        <v>5.67</v>
      </c>
      <c r="G229" s="5">
        <v>5.5</v>
      </c>
      <c r="H229" s="24">
        <f>+F229*0.945</f>
        <v>5.3581499999999993</v>
      </c>
      <c r="I229" s="27"/>
      <c r="J229" s="40">
        <f t="shared" si="85"/>
        <v>0</v>
      </c>
    </row>
    <row r="230" spans="1:10" ht="24" customHeight="1">
      <c r="A230" s="37">
        <v>660920</v>
      </c>
      <c r="B230" s="8" t="s">
        <v>302</v>
      </c>
      <c r="C230" s="5">
        <v>10.48</v>
      </c>
      <c r="D230" s="5"/>
      <c r="E230" s="5"/>
      <c r="F230" s="21">
        <v>11.49</v>
      </c>
      <c r="G230" s="5">
        <v>5.5</v>
      </c>
      <c r="H230" s="24">
        <f>+F230*0.945</f>
        <v>10.85805</v>
      </c>
      <c r="I230" s="27"/>
      <c r="J230" s="40">
        <f t="shared" si="85"/>
        <v>0</v>
      </c>
    </row>
    <row r="231" spans="1:10" ht="24" customHeight="1">
      <c r="A231" s="37">
        <v>661855</v>
      </c>
      <c r="B231" s="8" t="s">
        <v>270</v>
      </c>
      <c r="C231" s="5">
        <v>13.49</v>
      </c>
      <c r="D231" s="5"/>
      <c r="E231" s="5"/>
      <c r="F231" s="21">
        <v>14.6</v>
      </c>
      <c r="G231" s="5">
        <v>5.5</v>
      </c>
      <c r="H231" s="24">
        <f>+F231*0.945</f>
        <v>13.796999999999999</v>
      </c>
      <c r="I231" s="27"/>
      <c r="J231" s="40">
        <f>+I231*H231</f>
        <v>0</v>
      </c>
    </row>
    <row r="232" spans="1:10" ht="24" customHeight="1">
      <c r="A232" s="340" t="s">
        <v>149</v>
      </c>
      <c r="B232" s="341"/>
      <c r="C232" s="341"/>
      <c r="D232" s="341"/>
      <c r="E232" s="341"/>
      <c r="F232" s="341"/>
      <c r="G232" s="341"/>
      <c r="H232" s="341"/>
      <c r="I232" s="29"/>
      <c r="J232" s="41"/>
    </row>
    <row r="233" spans="1:10" ht="24" customHeight="1">
      <c r="A233" s="37">
        <v>847863</v>
      </c>
      <c r="B233" s="8" t="s">
        <v>150</v>
      </c>
      <c r="C233" s="5">
        <v>4.54</v>
      </c>
      <c r="D233" s="5"/>
      <c r="E233" s="5"/>
      <c r="F233" s="21">
        <v>4.91</v>
      </c>
      <c r="G233" s="5">
        <v>3.5</v>
      </c>
      <c r="H233" s="24">
        <f>+F233*0.965</f>
        <v>4.7381500000000001</v>
      </c>
      <c r="I233" s="27"/>
      <c r="J233" s="40">
        <f>+I233*H233</f>
        <v>0</v>
      </c>
    </row>
    <row r="234" spans="1:10" ht="24" customHeight="1">
      <c r="A234" s="37">
        <v>848416</v>
      </c>
      <c r="B234" s="8" t="s">
        <v>151</v>
      </c>
      <c r="C234" s="5">
        <v>9.08</v>
      </c>
      <c r="D234" s="5"/>
      <c r="E234" s="5"/>
      <c r="F234" s="21">
        <v>9.83</v>
      </c>
      <c r="G234" s="5">
        <v>3.5</v>
      </c>
      <c r="H234" s="24">
        <f>+F234*0.965</f>
        <v>9.485949999999999</v>
      </c>
      <c r="I234" s="27"/>
      <c r="J234" s="40">
        <f t="shared" ref="J234:J235" si="93">+I234*H234</f>
        <v>0</v>
      </c>
    </row>
    <row r="235" spans="1:10" ht="24" customHeight="1">
      <c r="A235" s="37">
        <v>731007</v>
      </c>
      <c r="B235" s="8" t="s">
        <v>148</v>
      </c>
      <c r="C235" s="5">
        <v>13.5</v>
      </c>
      <c r="D235" s="5"/>
      <c r="E235" s="5"/>
      <c r="F235" s="21">
        <v>14.61</v>
      </c>
      <c r="G235" s="5">
        <v>3.5</v>
      </c>
      <c r="H235" s="24">
        <f>+F235*0.965</f>
        <v>14.098649999999999</v>
      </c>
      <c r="I235" s="27"/>
      <c r="J235" s="40">
        <f t="shared" si="93"/>
        <v>0</v>
      </c>
    </row>
    <row r="236" spans="1:10" ht="24" customHeight="1">
      <c r="A236" s="340" t="s">
        <v>589</v>
      </c>
      <c r="B236" s="341"/>
      <c r="C236" s="341"/>
      <c r="D236" s="341"/>
      <c r="E236" s="341"/>
      <c r="F236" s="341"/>
      <c r="G236" s="341"/>
      <c r="H236" s="341"/>
      <c r="I236" s="29"/>
      <c r="J236" s="41"/>
    </row>
    <row r="237" spans="1:10" ht="24" customHeight="1">
      <c r="A237" s="37">
        <v>160401</v>
      </c>
      <c r="B237" s="8" t="s">
        <v>726</v>
      </c>
      <c r="C237" s="13">
        <v>11.42</v>
      </c>
      <c r="D237" s="5">
        <v>6</v>
      </c>
      <c r="E237" s="5">
        <f>+C237*0.94</f>
        <v>10.7348</v>
      </c>
      <c r="F237" s="5"/>
      <c r="G237" s="5"/>
      <c r="H237" s="24"/>
      <c r="I237" s="27"/>
      <c r="J237" s="40">
        <f>+I237*E237</f>
        <v>0</v>
      </c>
    </row>
    <row r="238" spans="1:10" ht="24" hidden="1" customHeight="1">
      <c r="A238" s="37">
        <v>160399</v>
      </c>
      <c r="B238" s="8" t="s">
        <v>727</v>
      </c>
      <c r="C238" s="13">
        <v>11.42</v>
      </c>
      <c r="D238" s="5">
        <v>7</v>
      </c>
      <c r="E238" s="5">
        <f t="shared" ref="E238:E239" si="94">+C238*0.93</f>
        <v>10.620600000000001</v>
      </c>
      <c r="F238" s="5"/>
      <c r="G238" s="5"/>
      <c r="H238" s="24"/>
      <c r="I238" s="27"/>
      <c r="J238" s="40">
        <f t="shared" ref="J238:J239" si="95">+I238*E238</f>
        <v>0</v>
      </c>
    </row>
    <row r="239" spans="1:10" ht="24" customHeight="1">
      <c r="A239" s="37">
        <v>359729</v>
      </c>
      <c r="B239" s="8" t="s">
        <v>728</v>
      </c>
      <c r="C239" s="13">
        <v>6.32</v>
      </c>
      <c r="D239" s="5">
        <v>7</v>
      </c>
      <c r="E239" s="5">
        <f t="shared" si="94"/>
        <v>5.8776000000000002</v>
      </c>
      <c r="F239" s="5"/>
      <c r="G239" s="5"/>
      <c r="H239" s="24"/>
      <c r="I239" s="27"/>
      <c r="J239" s="40">
        <f t="shared" si="95"/>
        <v>0</v>
      </c>
    </row>
    <row r="240" spans="1:10" ht="24" customHeight="1">
      <c r="A240" s="337" t="s">
        <v>22</v>
      </c>
      <c r="B240" s="338"/>
      <c r="C240" s="338"/>
      <c r="D240" s="338"/>
      <c r="E240" s="338"/>
      <c r="F240" s="338"/>
      <c r="G240" s="338"/>
      <c r="H240" s="339"/>
      <c r="I240" s="27"/>
      <c r="J240" s="36"/>
    </row>
    <row r="241" spans="1:10" ht="24" customHeight="1">
      <c r="A241" s="37">
        <v>662020</v>
      </c>
      <c r="B241" s="9" t="s">
        <v>7</v>
      </c>
      <c r="C241" s="5">
        <v>19.64</v>
      </c>
      <c r="D241" s="5"/>
      <c r="E241" s="5"/>
      <c r="F241" s="21">
        <v>21.26</v>
      </c>
      <c r="G241" s="5">
        <v>3</v>
      </c>
      <c r="H241" s="24">
        <f t="shared" ref="H241:H254" si="96">F241*0.97</f>
        <v>20.622199999999999</v>
      </c>
      <c r="I241" s="27"/>
      <c r="J241" s="40">
        <f>I241*H241</f>
        <v>0</v>
      </c>
    </row>
    <row r="242" spans="1:10" ht="24" customHeight="1">
      <c r="A242" s="37">
        <v>652451</v>
      </c>
      <c r="B242" s="9" t="s">
        <v>13</v>
      </c>
      <c r="C242" s="5">
        <v>18.48</v>
      </c>
      <c r="D242" s="5"/>
      <c r="E242" s="5"/>
      <c r="F242" s="21">
        <v>20</v>
      </c>
      <c r="G242" s="5">
        <v>3</v>
      </c>
      <c r="H242" s="24">
        <f t="shared" si="96"/>
        <v>19.399999999999999</v>
      </c>
      <c r="I242" s="27"/>
      <c r="J242" s="38">
        <f t="shared" ref="J242:J254" si="97">I242*H242</f>
        <v>0</v>
      </c>
    </row>
    <row r="243" spans="1:10" ht="24" customHeight="1">
      <c r="A243" s="37">
        <v>652452</v>
      </c>
      <c r="B243" s="9" t="s">
        <v>10</v>
      </c>
      <c r="C243" s="5">
        <v>27.72</v>
      </c>
      <c r="D243" s="5"/>
      <c r="E243" s="5"/>
      <c r="F243" s="21">
        <v>30</v>
      </c>
      <c r="G243" s="5">
        <v>3</v>
      </c>
      <c r="H243" s="24">
        <f t="shared" si="96"/>
        <v>29.099999999999998</v>
      </c>
      <c r="I243" s="27"/>
      <c r="J243" s="38">
        <f t="shared" si="97"/>
        <v>0</v>
      </c>
    </row>
    <row r="244" spans="1:10" ht="24" customHeight="1">
      <c r="A244" s="37">
        <v>653060</v>
      </c>
      <c r="B244" s="8" t="s">
        <v>87</v>
      </c>
      <c r="C244" s="5">
        <v>18.48</v>
      </c>
      <c r="D244" s="5"/>
      <c r="E244" s="5"/>
      <c r="F244" s="21">
        <v>20</v>
      </c>
      <c r="G244" s="5">
        <v>3.5</v>
      </c>
      <c r="H244" s="24">
        <f>F244*0.965</f>
        <v>19.3</v>
      </c>
      <c r="I244" s="27"/>
      <c r="J244" s="38">
        <f>+I244*H244</f>
        <v>0</v>
      </c>
    </row>
    <row r="245" spans="1:10" ht="24" customHeight="1">
      <c r="A245" s="37">
        <v>653061</v>
      </c>
      <c r="B245" s="8" t="s">
        <v>111</v>
      </c>
      <c r="C245" s="5">
        <v>27.72</v>
      </c>
      <c r="D245" s="5"/>
      <c r="E245" s="5"/>
      <c r="F245" s="21">
        <v>30</v>
      </c>
      <c r="G245" s="5">
        <v>3.5</v>
      </c>
      <c r="H245" s="24">
        <f t="shared" ref="H245" si="98">F245*0.965</f>
        <v>28.95</v>
      </c>
      <c r="I245" s="27"/>
      <c r="J245" s="38">
        <f t="shared" ref="J245" si="99">+I245*H245</f>
        <v>0</v>
      </c>
    </row>
    <row r="246" spans="1:10" ht="24" customHeight="1">
      <c r="A246" s="37">
        <v>684779</v>
      </c>
      <c r="B246" s="9" t="s">
        <v>67</v>
      </c>
      <c r="C246" s="5">
        <v>3.58</v>
      </c>
      <c r="D246" s="5"/>
      <c r="E246" s="5"/>
      <c r="F246" s="21">
        <v>3.87</v>
      </c>
      <c r="G246" s="5">
        <v>3</v>
      </c>
      <c r="H246" s="24">
        <f t="shared" si="96"/>
        <v>3.7538999999999998</v>
      </c>
      <c r="I246" s="27"/>
      <c r="J246" s="40">
        <f t="shared" si="97"/>
        <v>0</v>
      </c>
    </row>
    <row r="247" spans="1:10" ht="24" customHeight="1">
      <c r="A247" s="37">
        <v>665624</v>
      </c>
      <c r="B247" s="9" t="s">
        <v>77</v>
      </c>
      <c r="C247" s="5">
        <v>7.16</v>
      </c>
      <c r="D247" s="5"/>
      <c r="E247" s="5"/>
      <c r="F247" s="21">
        <v>7.75</v>
      </c>
      <c r="G247" s="5">
        <v>3</v>
      </c>
      <c r="H247" s="24">
        <f t="shared" si="96"/>
        <v>7.5175000000000001</v>
      </c>
      <c r="I247" s="27"/>
      <c r="J247" s="40">
        <f t="shared" si="97"/>
        <v>0</v>
      </c>
    </row>
    <row r="248" spans="1:10" ht="24" customHeight="1">
      <c r="A248" s="37">
        <v>688105</v>
      </c>
      <c r="B248" s="9" t="s">
        <v>229</v>
      </c>
      <c r="C248" s="5">
        <v>8.16</v>
      </c>
      <c r="D248" s="5"/>
      <c r="E248" s="5"/>
      <c r="F248" s="21">
        <v>8.83</v>
      </c>
      <c r="G248" s="5">
        <v>3</v>
      </c>
      <c r="H248" s="24">
        <f t="shared" si="96"/>
        <v>8.5650999999999993</v>
      </c>
      <c r="I248" s="27"/>
      <c r="J248" s="40">
        <f t="shared" si="97"/>
        <v>0</v>
      </c>
    </row>
    <row r="249" spans="1:10" ht="24" customHeight="1">
      <c r="A249" s="37">
        <v>688182</v>
      </c>
      <c r="B249" s="9" t="s">
        <v>331</v>
      </c>
      <c r="C249" s="5">
        <v>13.06</v>
      </c>
      <c r="D249" s="5"/>
      <c r="E249" s="5"/>
      <c r="F249" s="21">
        <v>14.13</v>
      </c>
      <c r="G249" s="5">
        <v>3</v>
      </c>
      <c r="H249" s="24">
        <f t="shared" ref="H249" si="100">F249*0.97</f>
        <v>13.706100000000001</v>
      </c>
      <c r="I249" s="27"/>
      <c r="J249" s="40">
        <f t="shared" ref="J249" si="101">I249*H249</f>
        <v>0</v>
      </c>
    </row>
    <row r="250" spans="1:10" ht="24" customHeight="1">
      <c r="A250" s="37">
        <v>736686</v>
      </c>
      <c r="B250" s="9" t="s">
        <v>78</v>
      </c>
      <c r="C250" s="5">
        <v>11.3</v>
      </c>
      <c r="D250" s="5"/>
      <c r="E250" s="5"/>
      <c r="F250" s="21">
        <v>12.23</v>
      </c>
      <c r="G250" s="5">
        <v>3</v>
      </c>
      <c r="H250" s="24">
        <f t="shared" ref="H250" si="102">F250*0.97</f>
        <v>11.863099999999999</v>
      </c>
      <c r="I250" s="27"/>
      <c r="J250" s="40">
        <f t="shared" ref="J250" si="103">I250*H250</f>
        <v>0</v>
      </c>
    </row>
    <row r="251" spans="1:10" ht="24" customHeight="1">
      <c r="A251" s="37">
        <v>655365</v>
      </c>
      <c r="B251" s="9" t="s">
        <v>56</v>
      </c>
      <c r="C251" s="5">
        <v>13.13</v>
      </c>
      <c r="D251" s="5"/>
      <c r="E251" s="5"/>
      <c r="F251" s="21">
        <v>14.21</v>
      </c>
      <c r="G251" s="5">
        <v>3</v>
      </c>
      <c r="H251" s="24">
        <f t="shared" si="96"/>
        <v>13.7837</v>
      </c>
      <c r="I251" s="27"/>
      <c r="J251" s="40">
        <f t="shared" si="97"/>
        <v>0</v>
      </c>
    </row>
    <row r="252" spans="1:10" ht="24" customHeight="1">
      <c r="A252" s="37">
        <v>706483</v>
      </c>
      <c r="B252" s="9" t="s">
        <v>822</v>
      </c>
      <c r="C252" s="5">
        <v>15.8</v>
      </c>
      <c r="D252" s="5"/>
      <c r="E252" s="5"/>
      <c r="F252" s="21">
        <v>17.100000000000001</v>
      </c>
      <c r="G252" s="5">
        <v>3</v>
      </c>
      <c r="H252" s="24">
        <f t="shared" ref="H252" si="104">F252*0.97</f>
        <v>16.587</v>
      </c>
      <c r="I252" s="27"/>
      <c r="J252" s="40">
        <f t="shared" ref="J252" si="105">I252*H252</f>
        <v>0</v>
      </c>
    </row>
    <row r="253" spans="1:10" ht="24" customHeight="1">
      <c r="A253" s="37">
        <v>703598</v>
      </c>
      <c r="B253" s="8" t="s">
        <v>309</v>
      </c>
      <c r="C253" s="5">
        <v>19.68</v>
      </c>
      <c r="D253" s="5"/>
      <c r="E253" s="5"/>
      <c r="F253" s="21">
        <v>21.3</v>
      </c>
      <c r="G253" s="5">
        <v>3</v>
      </c>
      <c r="H253" s="24">
        <f t="shared" si="96"/>
        <v>20.661000000000001</v>
      </c>
      <c r="I253" s="27"/>
      <c r="J253" s="40">
        <f t="shared" si="97"/>
        <v>0</v>
      </c>
    </row>
    <row r="254" spans="1:10" ht="24" customHeight="1">
      <c r="A254" s="37">
        <v>703615</v>
      </c>
      <c r="B254" s="8" t="s">
        <v>408</v>
      </c>
      <c r="C254" s="5">
        <v>17</v>
      </c>
      <c r="D254" s="5"/>
      <c r="E254" s="5"/>
      <c r="F254" s="21">
        <v>18.399999999999999</v>
      </c>
      <c r="G254" s="5">
        <v>3</v>
      </c>
      <c r="H254" s="24">
        <f t="shared" si="96"/>
        <v>17.847999999999999</v>
      </c>
      <c r="I254" s="27"/>
      <c r="J254" s="40">
        <f t="shared" si="97"/>
        <v>0</v>
      </c>
    </row>
    <row r="255" spans="1:10" ht="24" customHeight="1">
      <c r="A255" s="337" t="s">
        <v>23</v>
      </c>
      <c r="B255" s="338"/>
      <c r="C255" s="338"/>
      <c r="D255" s="338"/>
      <c r="E255" s="338"/>
      <c r="F255" s="338"/>
      <c r="G255" s="338"/>
      <c r="H255" s="339"/>
      <c r="I255" s="27"/>
      <c r="J255" s="36"/>
    </row>
    <row r="256" spans="1:10" ht="24" customHeight="1">
      <c r="A256" s="37">
        <v>700680</v>
      </c>
      <c r="B256" s="8" t="s">
        <v>14</v>
      </c>
      <c r="C256" s="13">
        <v>7.79</v>
      </c>
      <c r="D256" s="5"/>
      <c r="E256" s="5">
        <f>C256</f>
        <v>7.79</v>
      </c>
      <c r="F256" s="5"/>
      <c r="G256" s="5"/>
      <c r="H256" s="24"/>
      <c r="I256" s="27"/>
      <c r="J256" s="40">
        <f>I256*E256</f>
        <v>0</v>
      </c>
    </row>
    <row r="257" spans="1:10" ht="24" customHeight="1">
      <c r="A257" s="37"/>
      <c r="B257" s="8" t="s">
        <v>172</v>
      </c>
      <c r="C257" s="13">
        <v>7.79</v>
      </c>
      <c r="D257" s="5">
        <v>2</v>
      </c>
      <c r="E257" s="5">
        <f>C257*0.98</f>
        <v>7.6341999999999999</v>
      </c>
      <c r="F257" s="5"/>
      <c r="G257" s="5"/>
      <c r="H257" s="24"/>
      <c r="I257" s="27"/>
      <c r="J257" s="40">
        <f t="shared" ref="J257:J292" si="106">I257*E257</f>
        <v>0</v>
      </c>
    </row>
    <row r="258" spans="1:10" ht="24" customHeight="1">
      <c r="A258" s="37"/>
      <c r="B258" s="8" t="s">
        <v>405</v>
      </c>
      <c r="C258" s="13">
        <v>7.79</v>
      </c>
      <c r="D258" s="5">
        <v>4</v>
      </c>
      <c r="E258" s="5">
        <f>C258*0.96</f>
        <v>7.4783999999999997</v>
      </c>
      <c r="F258" s="5"/>
      <c r="G258" s="5"/>
      <c r="H258" s="24"/>
      <c r="I258" s="27"/>
      <c r="J258" s="40">
        <f t="shared" si="106"/>
        <v>0</v>
      </c>
    </row>
    <row r="259" spans="1:10" ht="24" customHeight="1">
      <c r="A259" s="37">
        <v>650828</v>
      </c>
      <c r="B259" s="8" t="s">
        <v>223</v>
      </c>
      <c r="C259" s="13">
        <v>18.55</v>
      </c>
      <c r="D259" s="5"/>
      <c r="E259" s="5">
        <f>+C259</f>
        <v>18.55</v>
      </c>
      <c r="F259" s="5"/>
      <c r="G259" s="5"/>
      <c r="H259" s="24"/>
      <c r="I259" s="27"/>
      <c r="J259" s="40">
        <f t="shared" si="106"/>
        <v>0</v>
      </c>
    </row>
    <row r="260" spans="1:10" ht="24" customHeight="1">
      <c r="A260" s="37">
        <v>795831</v>
      </c>
      <c r="B260" s="8" t="s">
        <v>298</v>
      </c>
      <c r="C260" s="13">
        <v>3.87</v>
      </c>
      <c r="D260" s="5"/>
      <c r="E260" s="5">
        <f>+C260</f>
        <v>3.87</v>
      </c>
      <c r="F260" s="5"/>
      <c r="G260" s="5"/>
      <c r="H260" s="24"/>
      <c r="I260" s="27"/>
      <c r="J260" s="40">
        <f t="shared" si="106"/>
        <v>0</v>
      </c>
    </row>
    <row r="261" spans="1:10" ht="24" customHeight="1">
      <c r="A261" s="37">
        <v>676460</v>
      </c>
      <c r="B261" s="8" t="s">
        <v>809</v>
      </c>
      <c r="C261" s="13">
        <v>1.6</v>
      </c>
      <c r="D261" s="5"/>
      <c r="E261" s="5">
        <f t="shared" ref="E261:E292" si="107">+C261</f>
        <v>1.6</v>
      </c>
      <c r="F261" s="5"/>
      <c r="G261" s="5"/>
      <c r="H261" s="24"/>
      <c r="I261" s="27"/>
      <c r="J261" s="40">
        <f t="shared" si="106"/>
        <v>0</v>
      </c>
    </row>
    <row r="262" spans="1:10" ht="24" customHeight="1">
      <c r="A262" s="37">
        <v>663411</v>
      </c>
      <c r="B262" s="8" t="s">
        <v>395</v>
      </c>
      <c r="C262" s="13">
        <v>3.1</v>
      </c>
      <c r="D262" s="5"/>
      <c r="E262" s="5">
        <f>+C262</f>
        <v>3.1</v>
      </c>
      <c r="F262" s="5"/>
      <c r="G262" s="5"/>
      <c r="H262" s="24"/>
      <c r="I262" s="27"/>
      <c r="J262" s="40">
        <f t="shared" si="106"/>
        <v>0</v>
      </c>
    </row>
    <row r="263" spans="1:10" ht="24" customHeight="1">
      <c r="A263" s="37">
        <v>663412</v>
      </c>
      <c r="B263" s="8" t="s">
        <v>396</v>
      </c>
      <c r="C263" s="13">
        <v>3.66</v>
      </c>
      <c r="D263" s="5"/>
      <c r="E263" s="5">
        <f>+C263</f>
        <v>3.66</v>
      </c>
      <c r="F263" s="5"/>
      <c r="G263" s="5"/>
      <c r="H263" s="24"/>
      <c r="I263" s="27"/>
      <c r="J263" s="40">
        <f t="shared" si="106"/>
        <v>0</v>
      </c>
    </row>
    <row r="264" spans="1:10" ht="24" customHeight="1">
      <c r="A264" s="37">
        <v>838755</v>
      </c>
      <c r="B264" s="8" t="s">
        <v>397</v>
      </c>
      <c r="C264" s="13">
        <v>33.9</v>
      </c>
      <c r="D264" s="5">
        <v>3.5</v>
      </c>
      <c r="E264" s="5">
        <f>+C264*0.965</f>
        <v>32.713499999999996</v>
      </c>
      <c r="F264" s="5"/>
      <c r="G264" s="5"/>
      <c r="H264" s="24"/>
      <c r="I264" s="27"/>
      <c r="J264" s="40">
        <f t="shared" si="106"/>
        <v>0</v>
      </c>
    </row>
    <row r="265" spans="1:10" ht="24" customHeight="1">
      <c r="A265" s="37">
        <v>720603</v>
      </c>
      <c r="B265" s="8" t="s">
        <v>542</v>
      </c>
      <c r="C265" s="13">
        <v>32</v>
      </c>
      <c r="D265" s="5">
        <v>30</v>
      </c>
      <c r="E265" s="5">
        <f>+C265*0.7</f>
        <v>22.4</v>
      </c>
      <c r="F265" s="5"/>
      <c r="G265" s="5"/>
      <c r="H265" s="24"/>
      <c r="I265" s="27"/>
      <c r="J265" s="40">
        <f t="shared" si="106"/>
        <v>0</v>
      </c>
    </row>
    <row r="266" spans="1:10" ht="24" customHeight="1">
      <c r="A266" s="37">
        <v>652206</v>
      </c>
      <c r="B266" s="8" t="s">
        <v>614</v>
      </c>
      <c r="C266" s="5">
        <v>6</v>
      </c>
      <c r="D266" s="5"/>
      <c r="E266" s="5"/>
      <c r="F266" s="21">
        <v>6.5</v>
      </c>
      <c r="G266" s="5">
        <v>3.5</v>
      </c>
      <c r="H266" s="24">
        <f>+F266*0.965</f>
        <v>6.2725</v>
      </c>
      <c r="I266" s="27"/>
      <c r="J266" s="40">
        <f>+I266*H266</f>
        <v>0</v>
      </c>
    </row>
    <row r="267" spans="1:10" ht="24" customHeight="1">
      <c r="A267" s="37">
        <v>690143</v>
      </c>
      <c r="B267" s="8" t="s">
        <v>615</v>
      </c>
      <c r="C267" s="5">
        <v>3.6</v>
      </c>
      <c r="D267" s="5"/>
      <c r="E267" s="5"/>
      <c r="F267" s="21">
        <v>3.89</v>
      </c>
      <c r="G267" s="5">
        <v>3.5</v>
      </c>
      <c r="H267" s="24">
        <f t="shared" ref="H267:H272" si="108">+F267*0.965</f>
        <v>3.7538499999999999</v>
      </c>
      <c r="I267" s="27"/>
      <c r="J267" s="40">
        <f t="shared" ref="J267:J272" si="109">+I267*H267</f>
        <v>0</v>
      </c>
    </row>
    <row r="268" spans="1:10" ht="24" customHeight="1">
      <c r="A268" s="37">
        <v>663633</v>
      </c>
      <c r="B268" s="8" t="s">
        <v>616</v>
      </c>
      <c r="C268" s="5">
        <v>6.72</v>
      </c>
      <c r="D268" s="5"/>
      <c r="E268" s="5"/>
      <c r="F268" s="21">
        <v>7.27</v>
      </c>
      <c r="G268" s="5">
        <v>3.5</v>
      </c>
      <c r="H268" s="24">
        <f t="shared" si="108"/>
        <v>7.0155499999999993</v>
      </c>
      <c r="I268" s="27"/>
      <c r="J268" s="40">
        <f t="shared" si="109"/>
        <v>0</v>
      </c>
    </row>
    <row r="269" spans="1:10" ht="24" customHeight="1">
      <c r="A269" s="37">
        <v>650163</v>
      </c>
      <c r="B269" s="8" t="s">
        <v>617</v>
      </c>
      <c r="C269" s="5">
        <v>13.43</v>
      </c>
      <c r="D269" s="5"/>
      <c r="E269" s="5"/>
      <c r="F269" s="21">
        <v>14.54</v>
      </c>
      <c r="G269" s="5">
        <v>3.5</v>
      </c>
      <c r="H269" s="24">
        <f t="shared" si="108"/>
        <v>14.031099999999999</v>
      </c>
      <c r="I269" s="27"/>
      <c r="J269" s="40">
        <f t="shared" si="109"/>
        <v>0</v>
      </c>
    </row>
    <row r="270" spans="1:10" ht="24" customHeight="1">
      <c r="A270" s="37">
        <v>690144</v>
      </c>
      <c r="B270" s="8" t="s">
        <v>618</v>
      </c>
      <c r="C270" s="5">
        <v>7.18</v>
      </c>
      <c r="D270" s="5"/>
      <c r="E270" s="5"/>
      <c r="F270" s="21">
        <v>7.77</v>
      </c>
      <c r="G270" s="5">
        <v>3.5</v>
      </c>
      <c r="H270" s="24">
        <f t="shared" si="108"/>
        <v>7.4980499999999992</v>
      </c>
      <c r="I270" s="27"/>
      <c r="J270" s="40">
        <f t="shared" si="109"/>
        <v>0</v>
      </c>
    </row>
    <row r="271" spans="1:10" ht="24" customHeight="1">
      <c r="A271" s="37">
        <v>663135</v>
      </c>
      <c r="B271" s="8" t="s">
        <v>619</v>
      </c>
      <c r="C271" s="5">
        <v>13.4</v>
      </c>
      <c r="D271" s="5"/>
      <c r="E271" s="5"/>
      <c r="F271" s="21">
        <v>14.5</v>
      </c>
      <c r="G271" s="5">
        <v>3.5</v>
      </c>
      <c r="H271" s="24">
        <f t="shared" si="108"/>
        <v>13.9925</v>
      </c>
      <c r="I271" s="27"/>
      <c r="J271" s="40">
        <f t="shared" si="109"/>
        <v>0</v>
      </c>
    </row>
    <row r="272" spans="1:10" ht="24" customHeight="1">
      <c r="A272" s="37">
        <v>663234</v>
      </c>
      <c r="B272" s="8" t="s">
        <v>620</v>
      </c>
      <c r="C272" s="5">
        <v>13.4</v>
      </c>
      <c r="D272" s="5"/>
      <c r="E272" s="5"/>
      <c r="F272" s="21">
        <v>14.5</v>
      </c>
      <c r="G272" s="5">
        <v>3.5</v>
      </c>
      <c r="H272" s="24">
        <f t="shared" si="108"/>
        <v>13.9925</v>
      </c>
      <c r="I272" s="27"/>
      <c r="J272" s="40">
        <f t="shared" si="109"/>
        <v>0</v>
      </c>
    </row>
    <row r="273" spans="1:10" ht="24" customHeight="1">
      <c r="A273" s="37">
        <v>654387</v>
      </c>
      <c r="B273" s="8" t="s">
        <v>702</v>
      </c>
      <c r="C273" s="13">
        <v>4.62</v>
      </c>
      <c r="D273" s="5"/>
      <c r="E273" s="5">
        <f>+C273</f>
        <v>4.62</v>
      </c>
      <c r="F273" s="5"/>
      <c r="G273" s="5"/>
      <c r="H273" s="24"/>
      <c r="I273" s="27"/>
      <c r="J273" s="40">
        <f>+I273*E273</f>
        <v>0</v>
      </c>
    </row>
    <row r="274" spans="1:10" ht="24" customHeight="1">
      <c r="A274" s="37">
        <v>664683</v>
      </c>
      <c r="B274" s="8" t="s">
        <v>703</v>
      </c>
      <c r="C274" s="13">
        <v>4.62</v>
      </c>
      <c r="D274" s="5"/>
      <c r="E274" s="5">
        <f>+C274</f>
        <v>4.62</v>
      </c>
      <c r="F274" s="5"/>
      <c r="G274" s="5"/>
      <c r="H274" s="24"/>
      <c r="I274" s="27"/>
      <c r="J274" s="40">
        <f t="shared" ref="J274:J275" si="110">+I274*E274</f>
        <v>0</v>
      </c>
    </row>
    <row r="275" spans="1:10" ht="24" customHeight="1">
      <c r="A275" s="37">
        <v>671656</v>
      </c>
      <c r="B275" s="8" t="s">
        <v>704</v>
      </c>
      <c r="C275" s="13">
        <v>4.62</v>
      </c>
      <c r="D275" s="5"/>
      <c r="E275" s="5">
        <f>+C275</f>
        <v>4.62</v>
      </c>
      <c r="F275" s="5"/>
      <c r="G275" s="5"/>
      <c r="H275" s="24"/>
      <c r="I275" s="27"/>
      <c r="J275" s="40">
        <f t="shared" si="110"/>
        <v>0</v>
      </c>
    </row>
    <row r="276" spans="1:10" ht="24" customHeight="1">
      <c r="A276" s="37">
        <v>891887</v>
      </c>
      <c r="B276" s="8" t="s">
        <v>749</v>
      </c>
      <c r="C276" s="13">
        <v>4.62</v>
      </c>
      <c r="D276" s="5"/>
      <c r="E276" s="5">
        <f t="shared" ref="E276:E277" si="111">+C276</f>
        <v>4.62</v>
      </c>
      <c r="F276" s="5"/>
      <c r="G276" s="5"/>
      <c r="H276" s="24"/>
      <c r="I276" s="27"/>
      <c r="J276" s="40">
        <f t="shared" ref="J276:J277" si="112">+I276*E276</f>
        <v>0</v>
      </c>
    </row>
    <row r="277" spans="1:10" ht="24" customHeight="1">
      <c r="A277" s="37">
        <v>655837</v>
      </c>
      <c r="B277" s="8" t="s">
        <v>750</v>
      </c>
      <c r="C277" s="13">
        <v>2.64</v>
      </c>
      <c r="D277" s="5"/>
      <c r="E277" s="5">
        <f t="shared" si="111"/>
        <v>2.64</v>
      </c>
      <c r="F277" s="5"/>
      <c r="G277" s="5"/>
      <c r="H277" s="24"/>
      <c r="I277" s="27"/>
      <c r="J277" s="40">
        <f t="shared" si="112"/>
        <v>0</v>
      </c>
    </row>
    <row r="278" spans="1:10" ht="24" customHeight="1">
      <c r="A278" s="37">
        <v>779553</v>
      </c>
      <c r="B278" s="8" t="s">
        <v>543</v>
      </c>
      <c r="C278" s="13">
        <v>0.7</v>
      </c>
      <c r="D278" s="5">
        <v>5</v>
      </c>
      <c r="E278" s="5">
        <f>+C278*0.95</f>
        <v>0.66499999999999992</v>
      </c>
      <c r="F278" s="5"/>
      <c r="G278" s="5"/>
      <c r="H278" s="24"/>
      <c r="I278" s="27"/>
      <c r="J278" s="40">
        <f t="shared" si="106"/>
        <v>0</v>
      </c>
    </row>
    <row r="279" spans="1:10" ht="24" customHeight="1">
      <c r="A279" s="37">
        <v>952069</v>
      </c>
      <c r="B279" s="8" t="s">
        <v>544</v>
      </c>
      <c r="C279" s="13">
        <v>0.73</v>
      </c>
      <c r="D279" s="5">
        <v>5</v>
      </c>
      <c r="E279" s="5">
        <f>+C279*0.95</f>
        <v>0.69350000000000001</v>
      </c>
      <c r="F279" s="5"/>
      <c r="G279" s="5"/>
      <c r="H279" s="24"/>
      <c r="I279" s="27"/>
      <c r="J279" s="40">
        <f t="shared" si="106"/>
        <v>0</v>
      </c>
    </row>
    <row r="280" spans="1:10" ht="24" customHeight="1">
      <c r="A280" s="37">
        <v>654161</v>
      </c>
      <c r="B280" s="8" t="s">
        <v>450</v>
      </c>
      <c r="C280" s="13">
        <v>4.5</v>
      </c>
      <c r="D280" s="5"/>
      <c r="E280" s="5">
        <v>4.5</v>
      </c>
      <c r="F280" s="5"/>
      <c r="G280" s="5"/>
      <c r="H280" s="24"/>
      <c r="I280" s="27"/>
      <c r="J280" s="40">
        <f>+I280*E280</f>
        <v>0</v>
      </c>
    </row>
    <row r="281" spans="1:10" ht="24" customHeight="1">
      <c r="A281" s="37"/>
      <c r="B281" s="8" t="s">
        <v>662</v>
      </c>
      <c r="C281" s="13">
        <v>4.5</v>
      </c>
      <c r="D281" s="5">
        <v>3</v>
      </c>
      <c r="E281" s="5">
        <f>+C281*0.97</f>
        <v>4.3650000000000002</v>
      </c>
      <c r="F281" s="5"/>
      <c r="G281" s="5"/>
      <c r="H281" s="24"/>
      <c r="I281" s="27"/>
      <c r="J281" s="40">
        <f t="shared" ref="J281:J282" si="113">+I281*E281</f>
        <v>0</v>
      </c>
    </row>
    <row r="282" spans="1:10" ht="24" customHeight="1">
      <c r="A282" s="37"/>
      <c r="B282" s="8" t="s">
        <v>663</v>
      </c>
      <c r="C282" s="13">
        <v>4.5</v>
      </c>
      <c r="D282" s="5">
        <v>5</v>
      </c>
      <c r="E282" s="5">
        <f>+C282*0.95</f>
        <v>4.2749999999999995</v>
      </c>
      <c r="F282" s="5"/>
      <c r="G282" s="5"/>
      <c r="H282" s="24"/>
      <c r="I282" s="27"/>
      <c r="J282" s="40">
        <f t="shared" si="113"/>
        <v>0</v>
      </c>
    </row>
    <row r="283" spans="1:10" ht="24" customHeight="1">
      <c r="A283" s="37">
        <v>723295</v>
      </c>
      <c r="B283" s="8" t="s">
        <v>466</v>
      </c>
      <c r="C283" s="13">
        <v>2.81</v>
      </c>
      <c r="D283" s="5">
        <v>5</v>
      </c>
      <c r="E283" s="5">
        <f>+C283*0.95</f>
        <v>2.6694999999999998</v>
      </c>
      <c r="F283" s="5"/>
      <c r="G283" s="5"/>
      <c r="H283" s="24"/>
      <c r="I283" s="27"/>
      <c r="J283" s="40">
        <f t="shared" si="106"/>
        <v>0</v>
      </c>
    </row>
    <row r="284" spans="1:10" ht="24" customHeight="1">
      <c r="A284" s="37">
        <v>723294</v>
      </c>
      <c r="B284" s="8" t="s">
        <v>467</v>
      </c>
      <c r="C284" s="13">
        <v>4.26</v>
      </c>
      <c r="D284" s="5">
        <v>5</v>
      </c>
      <c r="E284" s="5">
        <f>+C284*0.95</f>
        <v>4.0469999999999997</v>
      </c>
      <c r="F284" s="5"/>
      <c r="G284" s="5"/>
      <c r="H284" s="24"/>
      <c r="I284" s="27"/>
      <c r="J284" s="40">
        <f t="shared" si="106"/>
        <v>0</v>
      </c>
    </row>
    <row r="285" spans="1:10" ht="24" customHeight="1">
      <c r="A285" s="37">
        <v>676925</v>
      </c>
      <c r="B285" s="8" t="s">
        <v>573</v>
      </c>
      <c r="C285" s="13">
        <v>6.4</v>
      </c>
      <c r="D285" s="5"/>
      <c r="E285" s="5">
        <f t="shared" ref="E285" si="114">+C285</f>
        <v>6.4</v>
      </c>
      <c r="F285" s="5"/>
      <c r="G285" s="5"/>
      <c r="H285" s="24"/>
      <c r="I285" s="27"/>
      <c r="J285" s="40">
        <f t="shared" ref="J285" si="115">I285*E285</f>
        <v>0</v>
      </c>
    </row>
    <row r="286" spans="1:10" ht="24" customHeight="1">
      <c r="A286" s="37">
        <v>727603</v>
      </c>
      <c r="B286" s="8" t="s">
        <v>856</v>
      </c>
      <c r="C286" s="13">
        <v>10</v>
      </c>
      <c r="D286" s="5">
        <v>25</v>
      </c>
      <c r="E286" s="5">
        <f>+C286*0.75</f>
        <v>7.5</v>
      </c>
      <c r="F286" s="5"/>
      <c r="G286" s="5"/>
      <c r="H286" s="24"/>
      <c r="I286" s="27"/>
      <c r="J286" s="40">
        <f t="shared" ref="J286:J288" si="116">I286*E286</f>
        <v>0</v>
      </c>
    </row>
    <row r="287" spans="1:10" ht="24" customHeight="1">
      <c r="A287" s="37">
        <v>727600</v>
      </c>
      <c r="B287" s="8" t="s">
        <v>857</v>
      </c>
      <c r="C287" s="13">
        <v>2.5</v>
      </c>
      <c r="D287" s="5">
        <v>25</v>
      </c>
      <c r="E287" s="5">
        <f t="shared" ref="E287:E288" si="117">+C287*0.75</f>
        <v>1.875</v>
      </c>
      <c r="F287" s="5"/>
      <c r="G287" s="5"/>
      <c r="H287" s="24"/>
      <c r="I287" s="27"/>
      <c r="J287" s="40">
        <f t="shared" si="116"/>
        <v>0</v>
      </c>
    </row>
    <row r="288" spans="1:10" ht="24" customHeight="1">
      <c r="A288" s="37">
        <v>727601</v>
      </c>
      <c r="B288" s="8" t="s">
        <v>858</v>
      </c>
      <c r="C288" s="13">
        <v>10</v>
      </c>
      <c r="D288" s="5">
        <v>25</v>
      </c>
      <c r="E288" s="5">
        <f t="shared" si="117"/>
        <v>7.5</v>
      </c>
      <c r="F288" s="5"/>
      <c r="G288" s="5"/>
      <c r="H288" s="24"/>
      <c r="I288" s="27"/>
      <c r="J288" s="40">
        <f t="shared" si="116"/>
        <v>0</v>
      </c>
    </row>
    <row r="289" spans="1:10" ht="24" customHeight="1">
      <c r="A289" s="37">
        <v>818971</v>
      </c>
      <c r="B289" s="8" t="s">
        <v>747</v>
      </c>
      <c r="C289" s="13">
        <v>1.06</v>
      </c>
      <c r="D289" s="5"/>
      <c r="E289" s="5">
        <f t="shared" ref="E289:E291" si="118">+C289</f>
        <v>1.06</v>
      </c>
      <c r="F289" s="5"/>
      <c r="G289" s="5"/>
      <c r="H289" s="24"/>
      <c r="I289" s="27"/>
      <c r="J289" s="40">
        <f t="shared" ref="J289:J291" si="119">I289*E289</f>
        <v>0</v>
      </c>
    </row>
    <row r="290" spans="1:10" ht="24" customHeight="1">
      <c r="A290" s="37">
        <v>818997</v>
      </c>
      <c r="B290" s="8" t="s">
        <v>748</v>
      </c>
      <c r="C290" s="13">
        <v>1.24</v>
      </c>
      <c r="D290" s="5"/>
      <c r="E290" s="5">
        <f t="shared" si="118"/>
        <v>1.24</v>
      </c>
      <c r="F290" s="5"/>
      <c r="G290" s="5"/>
      <c r="H290" s="24"/>
      <c r="I290" s="27"/>
      <c r="J290" s="40">
        <f t="shared" si="119"/>
        <v>0</v>
      </c>
    </row>
    <row r="291" spans="1:10" ht="24" customHeight="1">
      <c r="A291" s="37">
        <v>819029</v>
      </c>
      <c r="B291" s="8" t="s">
        <v>754</v>
      </c>
      <c r="C291" s="13">
        <v>1.48</v>
      </c>
      <c r="D291" s="5"/>
      <c r="E291" s="5">
        <f t="shared" si="118"/>
        <v>1.48</v>
      </c>
      <c r="F291" s="5"/>
      <c r="G291" s="5"/>
      <c r="H291" s="24"/>
      <c r="I291" s="27"/>
      <c r="J291" s="40">
        <f t="shared" si="119"/>
        <v>0</v>
      </c>
    </row>
    <row r="292" spans="1:10" ht="24" customHeight="1">
      <c r="A292" s="37">
        <v>824284</v>
      </c>
      <c r="B292" s="8" t="s">
        <v>195</v>
      </c>
      <c r="C292" s="13">
        <v>17.95</v>
      </c>
      <c r="D292" s="5"/>
      <c r="E292" s="5">
        <f t="shared" si="107"/>
        <v>17.95</v>
      </c>
      <c r="F292" s="5"/>
      <c r="G292" s="5"/>
      <c r="H292" s="24"/>
      <c r="I292" s="27"/>
      <c r="J292" s="40">
        <f t="shared" si="106"/>
        <v>0</v>
      </c>
    </row>
    <row r="293" spans="1:10" s="10" customFormat="1" ht="24" customHeight="1">
      <c r="A293" s="42"/>
      <c r="B293" s="34"/>
      <c r="C293" s="33" t="s">
        <v>426</v>
      </c>
      <c r="D293" s="32"/>
      <c r="E293" s="19"/>
      <c r="F293" s="1"/>
      <c r="G293" s="1"/>
      <c r="H293" s="23"/>
      <c r="I293" s="30"/>
      <c r="J293" s="43"/>
    </row>
    <row r="294" spans="1:10" s="10" customFormat="1" ht="24" customHeight="1">
      <c r="A294" s="42"/>
      <c r="B294" s="32"/>
      <c r="C294" s="33" t="s">
        <v>398</v>
      </c>
      <c r="D294" s="32"/>
      <c r="E294" s="19"/>
      <c r="F294" s="1"/>
      <c r="G294" s="1"/>
      <c r="H294" s="23"/>
      <c r="I294" s="30"/>
      <c r="J294" s="43"/>
    </row>
    <row r="295" spans="1:10" ht="24" customHeight="1">
      <c r="A295" s="337" t="s">
        <v>89</v>
      </c>
      <c r="B295" s="338"/>
      <c r="C295" s="338"/>
      <c r="D295" s="338"/>
      <c r="E295" s="338"/>
      <c r="F295" s="338"/>
      <c r="G295" s="338"/>
      <c r="H295" s="339"/>
      <c r="I295" s="27"/>
      <c r="J295" s="36"/>
    </row>
    <row r="296" spans="1:10" ht="24" customHeight="1">
      <c r="A296" s="37">
        <v>918839</v>
      </c>
      <c r="B296" s="9" t="s">
        <v>90</v>
      </c>
      <c r="C296" s="5">
        <v>34.93</v>
      </c>
      <c r="D296" s="5"/>
      <c r="E296" s="5"/>
      <c r="F296" s="21">
        <v>37.799999999999997</v>
      </c>
      <c r="G296" s="5">
        <v>3.5</v>
      </c>
      <c r="H296" s="24">
        <f>F296*0.965</f>
        <v>36.476999999999997</v>
      </c>
      <c r="I296" s="27"/>
      <c r="J296" s="40">
        <f>+I296*H296</f>
        <v>0</v>
      </c>
    </row>
    <row r="297" spans="1:10" ht="24" customHeight="1">
      <c r="A297" s="37">
        <v>736066</v>
      </c>
      <c r="B297" s="9" t="s">
        <v>91</v>
      </c>
      <c r="C297" s="5">
        <v>34.93</v>
      </c>
      <c r="D297" s="5"/>
      <c r="E297" s="5"/>
      <c r="F297" s="21">
        <v>37.799999999999997</v>
      </c>
      <c r="G297" s="5">
        <v>3.5</v>
      </c>
      <c r="H297" s="24">
        <f t="shared" ref="H297:H316" si="120">F297*0.965</f>
        <v>36.476999999999997</v>
      </c>
      <c r="I297" s="27"/>
      <c r="J297" s="38">
        <f t="shared" ref="J297:J316" si="121">+I297*H297</f>
        <v>0</v>
      </c>
    </row>
    <row r="298" spans="1:10" ht="24" customHeight="1">
      <c r="A298" s="37">
        <v>650428</v>
      </c>
      <c r="B298" s="9" t="s">
        <v>157</v>
      </c>
      <c r="C298" s="5">
        <v>36.28</v>
      </c>
      <c r="D298" s="5"/>
      <c r="E298" s="5"/>
      <c r="F298" s="21">
        <v>39.270000000000003</v>
      </c>
      <c r="G298" s="5">
        <v>3.5</v>
      </c>
      <c r="H298" s="24">
        <f t="shared" si="120"/>
        <v>37.89555</v>
      </c>
      <c r="I298" s="27"/>
      <c r="J298" s="38">
        <f t="shared" si="121"/>
        <v>0</v>
      </c>
    </row>
    <row r="299" spans="1:10" ht="24" customHeight="1">
      <c r="A299" s="37">
        <v>840652</v>
      </c>
      <c r="B299" s="9" t="s">
        <v>160</v>
      </c>
      <c r="C299" s="5">
        <v>17.47</v>
      </c>
      <c r="D299" s="5"/>
      <c r="E299" s="5"/>
      <c r="F299" s="21">
        <v>18.899999999999999</v>
      </c>
      <c r="G299" s="5">
        <v>3.5</v>
      </c>
      <c r="H299" s="24">
        <f t="shared" si="120"/>
        <v>18.238499999999998</v>
      </c>
      <c r="I299" s="27"/>
      <c r="J299" s="38">
        <f t="shared" si="121"/>
        <v>0</v>
      </c>
    </row>
    <row r="300" spans="1:10" ht="24" hidden="1" customHeight="1">
      <c r="A300" s="37">
        <v>659680</v>
      </c>
      <c r="B300" s="9" t="s">
        <v>92</v>
      </c>
      <c r="C300" s="5">
        <v>3.32</v>
      </c>
      <c r="D300" s="5"/>
      <c r="E300" s="5"/>
      <c r="F300" s="21">
        <v>3.59</v>
      </c>
      <c r="G300" s="5">
        <v>3.5</v>
      </c>
      <c r="H300" s="24">
        <f t="shared" si="120"/>
        <v>3.4643499999999996</v>
      </c>
      <c r="I300" s="27"/>
      <c r="J300" s="38">
        <f t="shared" si="121"/>
        <v>0</v>
      </c>
    </row>
    <row r="301" spans="1:10" ht="24" customHeight="1">
      <c r="A301" s="37">
        <v>710025</v>
      </c>
      <c r="B301" s="9" t="s">
        <v>411</v>
      </c>
      <c r="C301" s="5">
        <v>112</v>
      </c>
      <c r="D301" s="5"/>
      <c r="E301" s="5"/>
      <c r="F301" s="21">
        <v>119.54</v>
      </c>
      <c r="G301" s="5">
        <v>3.5</v>
      </c>
      <c r="H301" s="24">
        <f t="shared" si="120"/>
        <v>115.3561</v>
      </c>
      <c r="I301" s="27"/>
      <c r="J301" s="38">
        <f t="shared" si="121"/>
        <v>0</v>
      </c>
    </row>
    <row r="302" spans="1:10" ht="24" customHeight="1">
      <c r="A302" s="37">
        <v>710026</v>
      </c>
      <c r="B302" s="9" t="s">
        <v>411</v>
      </c>
      <c r="C302" s="5">
        <v>112</v>
      </c>
      <c r="D302" s="5"/>
      <c r="E302" s="5"/>
      <c r="F302" s="21">
        <v>119.54</v>
      </c>
      <c r="G302" s="5">
        <v>3.5</v>
      </c>
      <c r="H302" s="24">
        <f t="shared" ref="H302:H303" si="122">F302*0.965</f>
        <v>115.3561</v>
      </c>
      <c r="I302" s="27"/>
      <c r="J302" s="38">
        <f t="shared" ref="J302:J303" si="123">+I302*H302</f>
        <v>0</v>
      </c>
    </row>
    <row r="303" spans="1:10" ht="24" customHeight="1">
      <c r="A303" s="37">
        <v>710028</v>
      </c>
      <c r="B303" s="9" t="s">
        <v>413</v>
      </c>
      <c r="C303" s="5">
        <v>112</v>
      </c>
      <c r="D303" s="5"/>
      <c r="E303" s="5"/>
      <c r="F303" s="21">
        <v>119.54</v>
      </c>
      <c r="G303" s="5">
        <v>3.5</v>
      </c>
      <c r="H303" s="24">
        <f t="shared" si="122"/>
        <v>115.3561</v>
      </c>
      <c r="I303" s="27"/>
      <c r="J303" s="38">
        <f t="shared" si="123"/>
        <v>0</v>
      </c>
    </row>
    <row r="304" spans="1:10" ht="24" customHeight="1">
      <c r="A304" s="37">
        <v>870261</v>
      </c>
      <c r="B304" s="9" t="s">
        <v>93</v>
      </c>
      <c r="C304" s="5">
        <v>8.69</v>
      </c>
      <c r="D304" s="5"/>
      <c r="E304" s="5"/>
      <c r="F304" s="21">
        <v>9.4</v>
      </c>
      <c r="G304" s="5">
        <v>3.5</v>
      </c>
      <c r="H304" s="24">
        <f t="shared" si="120"/>
        <v>9.0709999999999997</v>
      </c>
      <c r="I304" s="27"/>
      <c r="J304" s="38">
        <f t="shared" si="121"/>
        <v>0</v>
      </c>
    </row>
    <row r="305" spans="1:10" ht="24" customHeight="1">
      <c r="A305" s="37">
        <v>653941</v>
      </c>
      <c r="B305" s="9" t="s">
        <v>132</v>
      </c>
      <c r="C305" s="5">
        <v>107.8</v>
      </c>
      <c r="D305" s="5"/>
      <c r="E305" s="5"/>
      <c r="F305" s="21">
        <v>115.34</v>
      </c>
      <c r="G305" s="5">
        <v>3.5</v>
      </c>
      <c r="H305" s="24">
        <f t="shared" si="120"/>
        <v>111.3031</v>
      </c>
      <c r="I305" s="27"/>
      <c r="J305" s="38">
        <f t="shared" si="121"/>
        <v>0</v>
      </c>
    </row>
    <row r="306" spans="1:10" ht="24" customHeight="1">
      <c r="A306" s="37">
        <v>661537</v>
      </c>
      <c r="B306" s="9" t="s">
        <v>173</v>
      </c>
      <c r="C306" s="5">
        <v>42.11</v>
      </c>
      <c r="D306" s="5"/>
      <c r="E306" s="5"/>
      <c r="F306" s="21">
        <v>45.57</v>
      </c>
      <c r="G306" s="5">
        <v>3.5</v>
      </c>
      <c r="H306" s="24">
        <f t="shared" si="120"/>
        <v>43.975049999999996</v>
      </c>
      <c r="I306" s="27"/>
      <c r="J306" s="38">
        <f t="shared" si="121"/>
        <v>0</v>
      </c>
    </row>
    <row r="307" spans="1:10" ht="24" customHeight="1">
      <c r="A307" s="37">
        <v>653935</v>
      </c>
      <c r="B307" s="9" t="s">
        <v>210</v>
      </c>
      <c r="C307" s="5">
        <v>42.11</v>
      </c>
      <c r="D307" s="5"/>
      <c r="E307" s="5"/>
      <c r="F307" s="21">
        <v>45.57</v>
      </c>
      <c r="G307" s="5">
        <v>3.5</v>
      </c>
      <c r="H307" s="24">
        <f t="shared" ref="H307" si="124">F307*0.965</f>
        <v>43.975049999999996</v>
      </c>
      <c r="I307" s="27"/>
      <c r="J307" s="38">
        <f t="shared" ref="J307" si="125">+I307*H307</f>
        <v>0</v>
      </c>
    </row>
    <row r="308" spans="1:10" ht="24" customHeight="1">
      <c r="A308" s="37" t="s">
        <v>784</v>
      </c>
      <c r="B308" s="9" t="s">
        <v>783</v>
      </c>
      <c r="C308" s="5">
        <v>54.74</v>
      </c>
      <c r="D308" s="5"/>
      <c r="E308" s="5"/>
      <c r="F308" s="21">
        <v>59.24</v>
      </c>
      <c r="G308" s="5">
        <v>3.5</v>
      </c>
      <c r="H308" s="24">
        <f t="shared" ref="H308" si="126">F308*0.965</f>
        <v>57.166600000000003</v>
      </c>
      <c r="I308" s="27"/>
      <c r="J308" s="38">
        <f t="shared" ref="J308" si="127">+I308*H308</f>
        <v>0</v>
      </c>
    </row>
    <row r="309" spans="1:10" ht="24" customHeight="1">
      <c r="A309" s="37">
        <v>653939</v>
      </c>
      <c r="B309" s="9" t="s">
        <v>174</v>
      </c>
      <c r="C309" s="5">
        <v>87.59</v>
      </c>
      <c r="D309" s="5"/>
      <c r="E309" s="5"/>
      <c r="F309" s="21">
        <v>94.8</v>
      </c>
      <c r="G309" s="5">
        <v>3.5</v>
      </c>
      <c r="H309" s="24">
        <f t="shared" si="120"/>
        <v>91.481999999999999</v>
      </c>
      <c r="I309" s="27"/>
      <c r="J309" s="38">
        <f t="shared" si="121"/>
        <v>0</v>
      </c>
    </row>
    <row r="310" spans="1:10" ht="24" customHeight="1">
      <c r="A310" s="37">
        <v>653937</v>
      </c>
      <c r="B310" s="9" t="s">
        <v>196</v>
      </c>
      <c r="C310" s="5">
        <v>67.38</v>
      </c>
      <c r="D310" s="5"/>
      <c r="E310" s="5"/>
      <c r="F310" s="21">
        <v>72.92</v>
      </c>
      <c r="G310" s="5">
        <v>3.5</v>
      </c>
      <c r="H310" s="24">
        <f t="shared" si="120"/>
        <v>70.367800000000003</v>
      </c>
      <c r="I310" s="27"/>
      <c r="J310" s="38">
        <f>+I310*H310</f>
        <v>0</v>
      </c>
    </row>
    <row r="311" spans="1:10" ht="24" customHeight="1">
      <c r="A311" s="37">
        <v>700684</v>
      </c>
      <c r="B311" s="9" t="s">
        <v>139</v>
      </c>
      <c r="C311" s="5">
        <v>5.63</v>
      </c>
      <c r="D311" s="5"/>
      <c r="E311" s="5"/>
      <c r="F311" s="21">
        <v>6.09</v>
      </c>
      <c r="G311" s="5">
        <v>3.5</v>
      </c>
      <c r="H311" s="24">
        <f t="shared" si="120"/>
        <v>5.8768499999999992</v>
      </c>
      <c r="I311" s="27"/>
      <c r="J311" s="40">
        <f t="shared" si="121"/>
        <v>0</v>
      </c>
    </row>
    <row r="312" spans="1:10" ht="24" customHeight="1">
      <c r="A312" s="37">
        <v>700685</v>
      </c>
      <c r="B312" s="9" t="s">
        <v>133</v>
      </c>
      <c r="C312" s="5">
        <v>45.08</v>
      </c>
      <c r="D312" s="5"/>
      <c r="E312" s="5"/>
      <c r="F312" s="21">
        <v>48.79</v>
      </c>
      <c r="G312" s="5">
        <v>3.5</v>
      </c>
      <c r="H312" s="24">
        <f t="shared" si="120"/>
        <v>47.082349999999998</v>
      </c>
      <c r="I312" s="27"/>
      <c r="J312" s="40">
        <f t="shared" si="121"/>
        <v>0</v>
      </c>
    </row>
    <row r="313" spans="1:10" ht="24" customHeight="1">
      <c r="A313" s="37">
        <v>700687</v>
      </c>
      <c r="B313" s="9" t="s">
        <v>175</v>
      </c>
      <c r="C313" s="5">
        <v>90.19</v>
      </c>
      <c r="D313" s="5"/>
      <c r="E313" s="5"/>
      <c r="F313" s="21">
        <v>97.61</v>
      </c>
      <c r="G313" s="5">
        <v>3.5</v>
      </c>
      <c r="H313" s="24">
        <f t="shared" si="120"/>
        <v>94.193649999999991</v>
      </c>
      <c r="I313" s="27"/>
      <c r="J313" s="40">
        <f t="shared" si="121"/>
        <v>0</v>
      </c>
    </row>
    <row r="314" spans="1:10" ht="24" customHeight="1">
      <c r="A314" s="37">
        <v>700686</v>
      </c>
      <c r="B314" s="9" t="s">
        <v>212</v>
      </c>
      <c r="C314" s="5">
        <v>67.63</v>
      </c>
      <c r="D314" s="5"/>
      <c r="E314" s="5"/>
      <c r="F314" s="21">
        <v>73.2</v>
      </c>
      <c r="G314" s="5">
        <v>3.5</v>
      </c>
      <c r="H314" s="24">
        <f t="shared" si="120"/>
        <v>70.638000000000005</v>
      </c>
      <c r="I314" s="27"/>
      <c r="J314" s="40">
        <f t="shared" si="121"/>
        <v>0</v>
      </c>
    </row>
    <row r="315" spans="1:10" ht="24" customHeight="1">
      <c r="A315" s="37">
        <v>719694</v>
      </c>
      <c r="B315" s="9" t="s">
        <v>855</v>
      </c>
      <c r="C315" s="5">
        <v>26.87</v>
      </c>
      <c r="D315" s="5"/>
      <c r="E315" s="5"/>
      <c r="F315" s="21">
        <v>29.08</v>
      </c>
      <c r="G315" s="5">
        <v>3.5</v>
      </c>
      <c r="H315" s="24">
        <f t="shared" ref="H315" si="128">F315*0.965</f>
        <v>28.062199999999997</v>
      </c>
      <c r="I315" s="27"/>
      <c r="J315" s="40">
        <f t="shared" ref="J315" si="129">+I315*H315</f>
        <v>0</v>
      </c>
    </row>
    <row r="316" spans="1:10" ht="24" customHeight="1">
      <c r="A316" s="37">
        <v>971671</v>
      </c>
      <c r="B316" s="9" t="s">
        <v>94</v>
      </c>
      <c r="C316" s="5">
        <v>3.78</v>
      </c>
      <c r="D316" s="5"/>
      <c r="E316" s="5"/>
      <c r="F316" s="21">
        <v>4.09</v>
      </c>
      <c r="G316" s="5">
        <v>3.5</v>
      </c>
      <c r="H316" s="24">
        <f t="shared" si="120"/>
        <v>3.9468499999999995</v>
      </c>
      <c r="I316" s="27"/>
      <c r="J316" s="40">
        <f t="shared" si="121"/>
        <v>0</v>
      </c>
    </row>
    <row r="317" spans="1:10" ht="24" customHeight="1">
      <c r="A317" s="337" t="s">
        <v>95</v>
      </c>
      <c r="B317" s="338"/>
      <c r="C317" s="338"/>
      <c r="D317" s="338"/>
      <c r="E317" s="338"/>
      <c r="F317" s="338"/>
      <c r="G317" s="338"/>
      <c r="H317" s="339"/>
      <c r="I317" s="27"/>
      <c r="J317" s="36"/>
    </row>
    <row r="318" spans="1:10" ht="24" customHeight="1">
      <c r="A318" s="37">
        <v>654561</v>
      </c>
      <c r="B318" s="9" t="s">
        <v>96</v>
      </c>
      <c r="C318" s="13">
        <v>7.12</v>
      </c>
      <c r="D318" s="5">
        <v>2</v>
      </c>
      <c r="E318" s="5">
        <f>+C318*0.98</f>
        <v>6.9775999999999998</v>
      </c>
      <c r="F318" s="5"/>
      <c r="G318" s="5"/>
      <c r="H318" s="24"/>
      <c r="I318" s="27"/>
      <c r="J318" s="40">
        <f>+I318*E318</f>
        <v>0</v>
      </c>
    </row>
    <row r="319" spans="1:10" ht="24" customHeight="1">
      <c r="A319" s="37"/>
      <c r="B319" s="9" t="s">
        <v>664</v>
      </c>
      <c r="C319" s="13">
        <v>7.12</v>
      </c>
      <c r="D319" s="5">
        <v>4</v>
      </c>
      <c r="E319" s="5">
        <f>+C319*0.96</f>
        <v>6.8351999999999995</v>
      </c>
      <c r="F319" s="5"/>
      <c r="G319" s="5"/>
      <c r="H319" s="24"/>
      <c r="I319" s="27"/>
      <c r="J319" s="40">
        <f t="shared" ref="J319:J321" si="130">+I319*E319</f>
        <v>0</v>
      </c>
    </row>
    <row r="320" spans="1:10" ht="24" customHeight="1">
      <c r="A320" s="37"/>
      <c r="B320" s="9" t="s">
        <v>665</v>
      </c>
      <c r="C320" s="13">
        <v>7.12</v>
      </c>
      <c r="D320" s="5">
        <v>6</v>
      </c>
      <c r="E320" s="5">
        <f>+C320*0.94</f>
        <v>6.6928000000000001</v>
      </c>
      <c r="F320" s="5"/>
      <c r="G320" s="5"/>
      <c r="H320" s="24"/>
      <c r="I320" s="27"/>
      <c r="J320" s="40">
        <f t="shared" si="130"/>
        <v>0</v>
      </c>
    </row>
    <row r="321" spans="1:10" ht="24" customHeight="1">
      <c r="A321" s="37"/>
      <c r="B321" s="9" t="s">
        <v>666</v>
      </c>
      <c r="C321" s="13">
        <v>7.12</v>
      </c>
      <c r="D321" s="5">
        <v>8</v>
      </c>
      <c r="E321" s="5">
        <f>+C321*0.92</f>
        <v>6.5504000000000007</v>
      </c>
      <c r="F321" s="5"/>
      <c r="G321" s="5"/>
      <c r="H321" s="24"/>
      <c r="I321" s="27"/>
      <c r="J321" s="40">
        <f t="shared" si="130"/>
        <v>0</v>
      </c>
    </row>
    <row r="322" spans="1:10" ht="24" customHeight="1">
      <c r="A322" s="37">
        <v>699328</v>
      </c>
      <c r="B322" s="9" t="s">
        <v>97</v>
      </c>
      <c r="C322" s="5">
        <v>14.84</v>
      </c>
      <c r="D322" s="5"/>
      <c r="E322" s="5">
        <f>+C322</f>
        <v>14.84</v>
      </c>
      <c r="F322" s="21">
        <v>16.059999999999999</v>
      </c>
      <c r="G322" s="5">
        <v>4</v>
      </c>
      <c r="H322" s="24">
        <f>+F322*0.96</f>
        <v>15.417599999999998</v>
      </c>
      <c r="I322" s="27"/>
      <c r="J322" s="40">
        <f>+H322*I322</f>
        <v>0</v>
      </c>
    </row>
    <row r="323" spans="1:10" ht="24" hidden="1" customHeight="1">
      <c r="A323" s="37">
        <v>653511</v>
      </c>
      <c r="B323" s="9" t="s">
        <v>98</v>
      </c>
      <c r="C323" s="5">
        <v>10.81</v>
      </c>
      <c r="D323" s="5">
        <v>5</v>
      </c>
      <c r="E323" s="5">
        <f>+C323*0.95</f>
        <v>10.269500000000001</v>
      </c>
      <c r="F323" s="5"/>
      <c r="G323" s="5"/>
      <c r="H323" s="24"/>
      <c r="I323" s="27"/>
      <c r="J323" s="40">
        <f>+I323*E323</f>
        <v>0</v>
      </c>
    </row>
    <row r="324" spans="1:10" ht="24" hidden="1" customHeight="1">
      <c r="A324" s="37"/>
      <c r="B324" s="9" t="s">
        <v>729</v>
      </c>
      <c r="C324" s="5">
        <v>10.81</v>
      </c>
      <c r="D324" s="5">
        <v>6</v>
      </c>
      <c r="E324" s="5">
        <f>+C324*0.94</f>
        <v>10.1614</v>
      </c>
      <c r="F324" s="5"/>
      <c r="G324" s="5"/>
      <c r="H324" s="24"/>
      <c r="I324" s="27"/>
      <c r="J324" s="40">
        <f t="shared" ref="J324:J325" si="131">+I324*E324</f>
        <v>0</v>
      </c>
    </row>
    <row r="325" spans="1:10" ht="24" hidden="1" customHeight="1">
      <c r="A325" s="37"/>
      <c r="B325" s="9" t="s">
        <v>730</v>
      </c>
      <c r="C325" s="5">
        <v>10.81</v>
      </c>
      <c r="D325" s="5">
        <v>7</v>
      </c>
      <c r="E325" s="5">
        <f>+C325*0.93</f>
        <v>10.0533</v>
      </c>
      <c r="F325" s="5"/>
      <c r="G325" s="5"/>
      <c r="H325" s="24"/>
      <c r="I325" s="27"/>
      <c r="J325" s="40">
        <f t="shared" si="131"/>
        <v>0</v>
      </c>
    </row>
    <row r="326" spans="1:10" ht="24" customHeight="1">
      <c r="A326" s="37">
        <v>653734</v>
      </c>
      <c r="B326" s="9" t="s">
        <v>99</v>
      </c>
      <c r="C326" s="13">
        <v>4.68</v>
      </c>
      <c r="D326" s="5">
        <v>2</v>
      </c>
      <c r="E326" s="5">
        <f>+C326*0.98</f>
        <v>4.5863999999999994</v>
      </c>
      <c r="F326" s="5"/>
      <c r="G326" s="5"/>
      <c r="H326" s="24"/>
      <c r="I326" s="27"/>
      <c r="J326" s="40">
        <f>+I326*E326</f>
        <v>0</v>
      </c>
    </row>
    <row r="327" spans="1:10" ht="24" customHeight="1">
      <c r="A327" s="37"/>
      <c r="B327" s="9" t="s">
        <v>667</v>
      </c>
      <c r="C327" s="13">
        <v>4.68</v>
      </c>
      <c r="D327" s="5">
        <v>4</v>
      </c>
      <c r="E327" s="5">
        <f>+C327*0.96</f>
        <v>4.4927999999999999</v>
      </c>
      <c r="F327" s="5"/>
      <c r="G327" s="5"/>
      <c r="H327" s="24"/>
      <c r="I327" s="27"/>
      <c r="J327" s="40">
        <f t="shared" ref="J327:J328" si="132">+I327*E327</f>
        <v>0</v>
      </c>
    </row>
    <row r="328" spans="1:10" ht="24" customHeight="1">
      <c r="A328" s="37"/>
      <c r="B328" s="9" t="s">
        <v>668</v>
      </c>
      <c r="C328" s="13">
        <v>4.68</v>
      </c>
      <c r="D328" s="5">
        <v>6</v>
      </c>
      <c r="E328" s="5">
        <f>+C328*0.94</f>
        <v>4.3991999999999996</v>
      </c>
      <c r="F328" s="5"/>
      <c r="G328" s="5"/>
      <c r="H328" s="24"/>
      <c r="I328" s="27"/>
      <c r="J328" s="40">
        <f t="shared" si="132"/>
        <v>0</v>
      </c>
    </row>
    <row r="329" spans="1:10" ht="24" customHeight="1">
      <c r="A329" s="37">
        <v>665747</v>
      </c>
      <c r="B329" s="9" t="s">
        <v>100</v>
      </c>
      <c r="C329" s="13">
        <v>4.7</v>
      </c>
      <c r="D329" s="5">
        <v>2</v>
      </c>
      <c r="E329" s="5">
        <f>+C329*98</f>
        <v>460.6</v>
      </c>
      <c r="F329" s="5"/>
      <c r="G329" s="5"/>
      <c r="H329" s="24"/>
      <c r="I329" s="27"/>
      <c r="J329" s="40">
        <f t="shared" ref="J329:J330" si="133">+I329*E329</f>
        <v>0</v>
      </c>
    </row>
    <row r="330" spans="1:10" ht="24" customHeight="1">
      <c r="A330" s="37"/>
      <c r="B330" s="9" t="s">
        <v>657</v>
      </c>
      <c r="C330" s="13">
        <v>4.7</v>
      </c>
      <c r="D330" s="5">
        <v>4</v>
      </c>
      <c r="E330" s="5">
        <f>+C330*0.96</f>
        <v>4.5119999999999996</v>
      </c>
      <c r="F330" s="5"/>
      <c r="G330" s="5"/>
      <c r="H330" s="24"/>
      <c r="I330" s="27"/>
      <c r="J330" s="40">
        <f t="shared" si="133"/>
        <v>0</v>
      </c>
    </row>
    <row r="331" spans="1:10" ht="24" customHeight="1">
      <c r="A331" s="37"/>
      <c r="B331" s="9" t="s">
        <v>655</v>
      </c>
      <c r="C331" s="13">
        <v>4.7</v>
      </c>
      <c r="D331" s="5">
        <v>5</v>
      </c>
      <c r="E331" s="5">
        <f>+C331*0.95</f>
        <v>4.4649999999999999</v>
      </c>
      <c r="F331" s="5"/>
      <c r="G331" s="5"/>
      <c r="H331" s="24"/>
      <c r="I331" s="27"/>
      <c r="J331" s="40">
        <f t="shared" ref="J331:J332" si="134">+I331*E331</f>
        <v>0</v>
      </c>
    </row>
    <row r="332" spans="1:10" ht="24" customHeight="1">
      <c r="A332" s="37"/>
      <c r="B332" s="9" t="s">
        <v>656</v>
      </c>
      <c r="C332" s="13">
        <v>4.7</v>
      </c>
      <c r="D332" s="5">
        <v>6</v>
      </c>
      <c r="E332" s="5">
        <f>+C332*0.94</f>
        <v>4.4180000000000001</v>
      </c>
      <c r="F332" s="5"/>
      <c r="G332" s="5"/>
      <c r="H332" s="24"/>
      <c r="I332" s="27"/>
      <c r="J332" s="40">
        <f t="shared" si="134"/>
        <v>0</v>
      </c>
    </row>
    <row r="333" spans="1:10" ht="24" customHeight="1">
      <c r="A333" s="37">
        <v>697648</v>
      </c>
      <c r="B333" s="9" t="s">
        <v>101</v>
      </c>
      <c r="C333" s="5">
        <v>16.71</v>
      </c>
      <c r="D333" s="5"/>
      <c r="E333" s="5"/>
      <c r="F333" s="21">
        <v>18.079999999999998</v>
      </c>
      <c r="G333" s="5">
        <v>4</v>
      </c>
      <c r="H333" s="24">
        <f>+F333*0.96</f>
        <v>17.356799999999996</v>
      </c>
      <c r="I333" s="27"/>
      <c r="J333" s="40">
        <f>+I333*H333</f>
        <v>0</v>
      </c>
    </row>
    <row r="334" spans="1:10" ht="24" customHeight="1">
      <c r="A334" s="37">
        <v>686167</v>
      </c>
      <c r="B334" s="4" t="s">
        <v>224</v>
      </c>
      <c r="C334" s="5">
        <v>40</v>
      </c>
      <c r="D334" s="5"/>
      <c r="E334" s="5"/>
      <c r="F334" s="21">
        <v>43.29</v>
      </c>
      <c r="G334" s="5">
        <v>3.5</v>
      </c>
      <c r="H334" s="24">
        <f t="shared" ref="H334" si="135">F334*0.965</f>
        <v>41.774850000000001</v>
      </c>
      <c r="I334" s="27"/>
      <c r="J334" s="38">
        <f t="shared" ref="J334" si="136">+I334*H334</f>
        <v>0</v>
      </c>
    </row>
    <row r="335" spans="1:10" ht="24" customHeight="1">
      <c r="A335" s="37">
        <v>876466</v>
      </c>
      <c r="B335" s="4" t="s">
        <v>176</v>
      </c>
      <c r="C335" s="13">
        <v>5.61</v>
      </c>
      <c r="D335" s="5">
        <v>10</v>
      </c>
      <c r="E335" s="5">
        <f>+C335*0.9</f>
        <v>5.0490000000000004</v>
      </c>
      <c r="F335" s="5"/>
      <c r="G335" s="5"/>
      <c r="H335" s="24"/>
      <c r="I335" s="27"/>
      <c r="J335" s="40">
        <f>+I335*E335</f>
        <v>0</v>
      </c>
    </row>
    <row r="336" spans="1:10" ht="24" customHeight="1">
      <c r="A336" s="37"/>
      <c r="B336" s="4" t="s">
        <v>585</v>
      </c>
      <c r="C336" s="13">
        <v>5.61</v>
      </c>
      <c r="D336" s="5">
        <v>12</v>
      </c>
      <c r="E336" s="5">
        <f>C336*0.88</f>
        <v>4.9368000000000007</v>
      </c>
      <c r="F336" s="5"/>
      <c r="G336" s="5"/>
      <c r="H336" s="24"/>
      <c r="I336" s="27"/>
      <c r="J336" s="40">
        <f t="shared" ref="J336" si="137">+I336*E336</f>
        <v>0</v>
      </c>
    </row>
    <row r="337" spans="1:10" ht="24" customHeight="1">
      <c r="A337" s="37"/>
      <c r="B337" s="4" t="s">
        <v>356</v>
      </c>
      <c r="C337" s="13">
        <v>5.61</v>
      </c>
      <c r="D337" s="5">
        <v>14</v>
      </c>
      <c r="E337" s="5">
        <f>+C337*0.86</f>
        <v>4.8246000000000002</v>
      </c>
      <c r="F337" s="5"/>
      <c r="G337" s="5"/>
      <c r="H337" s="24"/>
      <c r="I337" s="27"/>
      <c r="J337" s="40">
        <f t="shared" ref="J337" si="138">+I337*E337</f>
        <v>0</v>
      </c>
    </row>
    <row r="338" spans="1:10" ht="24" customHeight="1">
      <c r="A338" s="37">
        <v>169884</v>
      </c>
      <c r="B338" s="4" t="s">
        <v>177</v>
      </c>
      <c r="C338" s="13">
        <v>11.12</v>
      </c>
      <c r="D338" s="5">
        <v>15</v>
      </c>
      <c r="E338" s="5">
        <f>C338*0.85</f>
        <v>9.452</v>
      </c>
      <c r="F338" s="5"/>
      <c r="G338" s="5"/>
      <c r="H338" s="24"/>
      <c r="I338" s="27"/>
      <c r="J338" s="40">
        <f t="shared" ref="J338" si="139">+I338*E338</f>
        <v>0</v>
      </c>
    </row>
    <row r="339" spans="1:10" ht="24" customHeight="1">
      <c r="A339" s="37">
        <v>697254</v>
      </c>
      <c r="B339" s="4" t="s">
        <v>690</v>
      </c>
      <c r="C339" s="5">
        <v>40.880000000000003</v>
      </c>
      <c r="D339" s="5"/>
      <c r="E339" s="5"/>
      <c r="F339" s="21">
        <v>44.24</v>
      </c>
      <c r="G339" s="5">
        <v>3.5</v>
      </c>
      <c r="H339" s="24">
        <f t="shared" ref="H339" si="140">F339*0.965</f>
        <v>42.691600000000001</v>
      </c>
      <c r="I339" s="27"/>
      <c r="J339" s="38">
        <f t="shared" ref="J339" si="141">+I339*H339</f>
        <v>0</v>
      </c>
    </row>
    <row r="340" spans="1:10" ht="24" customHeight="1">
      <c r="A340" s="337" t="s">
        <v>80</v>
      </c>
      <c r="B340" s="338"/>
      <c r="C340" s="338"/>
      <c r="D340" s="338"/>
      <c r="E340" s="338"/>
      <c r="F340" s="338"/>
      <c r="G340" s="338"/>
      <c r="H340" s="339"/>
      <c r="I340" s="26"/>
      <c r="J340" s="36"/>
    </row>
    <row r="341" spans="1:10" ht="24" customHeight="1">
      <c r="A341" s="37">
        <v>776773</v>
      </c>
      <c r="B341" s="4" t="s">
        <v>81</v>
      </c>
      <c r="C341" s="5">
        <v>8.02</v>
      </c>
      <c r="D341" s="5"/>
      <c r="E341" s="5"/>
      <c r="F341" s="21">
        <v>8.68</v>
      </c>
      <c r="G341" s="5">
        <v>3.5</v>
      </c>
      <c r="H341" s="24">
        <f>F341*0.965</f>
        <v>8.376199999999999</v>
      </c>
      <c r="I341" s="27"/>
      <c r="J341" s="38">
        <f>+I341*H341</f>
        <v>0</v>
      </c>
    </row>
    <row r="342" spans="1:10" ht="24" customHeight="1">
      <c r="A342" s="37">
        <v>701217</v>
      </c>
      <c r="B342" s="4" t="s">
        <v>135</v>
      </c>
      <c r="C342" s="5">
        <v>2.5</v>
      </c>
      <c r="D342" s="5"/>
      <c r="E342" s="5"/>
      <c r="F342" s="21">
        <v>2.7</v>
      </c>
      <c r="G342" s="5">
        <v>3.5</v>
      </c>
      <c r="H342" s="24">
        <f t="shared" ref="H342:H352" si="142">F342*0.965</f>
        <v>2.6055000000000001</v>
      </c>
      <c r="I342" s="27"/>
      <c r="J342" s="40">
        <f t="shared" ref="J342:J345" si="143">+I342*H342</f>
        <v>0</v>
      </c>
    </row>
    <row r="343" spans="1:10" ht="24" customHeight="1">
      <c r="A343" s="37">
        <v>701218</v>
      </c>
      <c r="B343" s="4" t="s">
        <v>200</v>
      </c>
      <c r="C343" s="5">
        <v>10</v>
      </c>
      <c r="D343" s="5"/>
      <c r="E343" s="5"/>
      <c r="F343" s="21">
        <v>10.82</v>
      </c>
      <c r="G343" s="5">
        <v>3.5</v>
      </c>
      <c r="H343" s="24">
        <f t="shared" si="142"/>
        <v>10.4413</v>
      </c>
      <c r="I343" s="27"/>
      <c r="J343" s="40">
        <f t="shared" si="143"/>
        <v>0</v>
      </c>
    </row>
    <row r="344" spans="1:10" ht="24" customHeight="1">
      <c r="A344" s="37">
        <v>726634</v>
      </c>
      <c r="B344" s="4" t="s">
        <v>587</v>
      </c>
      <c r="C344" s="5">
        <v>10</v>
      </c>
      <c r="D344" s="5"/>
      <c r="E344" s="5"/>
      <c r="F344" s="21">
        <v>10.82</v>
      </c>
      <c r="G344" s="5">
        <v>3.5</v>
      </c>
      <c r="H344" s="24">
        <f t="shared" ref="H344" si="144">F344*0.965</f>
        <v>10.4413</v>
      </c>
      <c r="I344" s="27"/>
      <c r="J344" s="40">
        <f t="shared" ref="J344" si="145">+I344*H344</f>
        <v>0</v>
      </c>
    </row>
    <row r="345" spans="1:10" ht="24" customHeight="1">
      <c r="A345" s="37">
        <v>701220</v>
      </c>
      <c r="B345" s="4" t="s">
        <v>201</v>
      </c>
      <c r="C345" s="5">
        <v>10</v>
      </c>
      <c r="D345" s="5"/>
      <c r="E345" s="5"/>
      <c r="F345" s="21">
        <v>10.82</v>
      </c>
      <c r="G345" s="5">
        <v>3.5</v>
      </c>
      <c r="H345" s="24">
        <f t="shared" si="142"/>
        <v>10.4413</v>
      </c>
      <c r="I345" s="27"/>
      <c r="J345" s="40">
        <f t="shared" si="143"/>
        <v>0</v>
      </c>
    </row>
    <row r="346" spans="1:10" ht="24" customHeight="1">
      <c r="A346" s="37"/>
      <c r="B346" s="4" t="s">
        <v>199</v>
      </c>
      <c r="C346" s="5"/>
      <c r="D346" s="5"/>
      <c r="E346" s="5"/>
      <c r="F346" s="5"/>
      <c r="G346" s="5"/>
      <c r="H346" s="24"/>
      <c r="I346" s="27"/>
      <c r="J346" s="40"/>
    </row>
    <row r="347" spans="1:10" ht="24" customHeight="1">
      <c r="A347" s="37">
        <v>866152</v>
      </c>
      <c r="B347" s="4" t="s">
        <v>202</v>
      </c>
      <c r="C347" s="5">
        <v>2.17</v>
      </c>
      <c r="D347" s="5"/>
      <c r="E347" s="5"/>
      <c r="F347" s="21">
        <v>2.35</v>
      </c>
      <c r="G347" s="5">
        <v>3.5</v>
      </c>
      <c r="H347" s="24">
        <f t="shared" ref="H347" si="146">F347*0.965</f>
        <v>2.2677499999999999</v>
      </c>
      <c r="I347" s="27"/>
      <c r="J347" s="40">
        <f t="shared" ref="J347" si="147">+I347*H347</f>
        <v>0</v>
      </c>
    </row>
    <row r="348" spans="1:10" ht="24" customHeight="1">
      <c r="A348" s="37"/>
      <c r="B348" s="4" t="s">
        <v>203</v>
      </c>
      <c r="C348" s="5"/>
      <c r="D348" s="5"/>
      <c r="E348" s="5"/>
      <c r="F348" s="21">
        <v>2.35</v>
      </c>
      <c r="G348" s="5">
        <v>5</v>
      </c>
      <c r="H348" s="24">
        <f>F348*0.95</f>
        <v>2.2324999999999999</v>
      </c>
      <c r="I348" s="27"/>
      <c r="J348" s="40">
        <f>+I348*H348</f>
        <v>0</v>
      </c>
    </row>
    <row r="349" spans="1:10" ht="24" customHeight="1">
      <c r="A349" s="37">
        <v>656845</v>
      </c>
      <c r="B349" s="4" t="s">
        <v>82</v>
      </c>
      <c r="C349" s="5">
        <v>3.74</v>
      </c>
      <c r="D349" s="5"/>
      <c r="E349" s="5"/>
      <c r="F349" s="21">
        <v>4.04</v>
      </c>
      <c r="G349" s="5">
        <v>3.5</v>
      </c>
      <c r="H349" s="24">
        <f t="shared" si="142"/>
        <v>3.8986000000000001</v>
      </c>
      <c r="I349" s="27"/>
      <c r="J349" s="40">
        <f t="shared" ref="J349:J362" si="148">+I349*H349</f>
        <v>0</v>
      </c>
    </row>
    <row r="350" spans="1:10" ht="24" customHeight="1">
      <c r="A350" s="37">
        <v>697784</v>
      </c>
      <c r="B350" s="4" t="s">
        <v>83</v>
      </c>
      <c r="C350" s="5">
        <v>5.77</v>
      </c>
      <c r="D350" s="5"/>
      <c r="E350" s="5"/>
      <c r="F350" s="21">
        <v>6.24</v>
      </c>
      <c r="G350" s="5">
        <v>3.5</v>
      </c>
      <c r="H350" s="24">
        <f t="shared" si="142"/>
        <v>6.0216000000000003</v>
      </c>
      <c r="I350" s="27"/>
      <c r="J350" s="40">
        <f t="shared" si="148"/>
        <v>0</v>
      </c>
    </row>
    <row r="351" spans="1:10" ht="24" customHeight="1">
      <c r="A351" s="37">
        <v>728979</v>
      </c>
      <c r="B351" s="4" t="s">
        <v>823</v>
      </c>
      <c r="C351" s="5">
        <v>11.54</v>
      </c>
      <c r="D351" s="5"/>
      <c r="E351" s="5"/>
      <c r="F351" s="21">
        <v>12.49</v>
      </c>
      <c r="G351" s="5">
        <v>3.5</v>
      </c>
      <c r="H351" s="24">
        <f t="shared" ref="H351" si="149">F351*0.965</f>
        <v>12.052849999999999</v>
      </c>
      <c r="I351" s="27"/>
      <c r="J351" s="40">
        <f t="shared" ref="J351" si="150">+I351*H351</f>
        <v>0</v>
      </c>
    </row>
    <row r="352" spans="1:10" ht="24" customHeight="1">
      <c r="A352" s="37">
        <v>655997</v>
      </c>
      <c r="B352" s="4" t="s">
        <v>84</v>
      </c>
      <c r="C352" s="5">
        <v>4.62</v>
      </c>
      <c r="D352" s="5"/>
      <c r="E352" s="5"/>
      <c r="F352" s="21">
        <v>5</v>
      </c>
      <c r="G352" s="5">
        <v>3.5</v>
      </c>
      <c r="H352" s="24">
        <f t="shared" si="142"/>
        <v>4.8250000000000002</v>
      </c>
      <c r="I352" s="27"/>
      <c r="J352" s="40">
        <f t="shared" si="148"/>
        <v>0</v>
      </c>
    </row>
    <row r="353" spans="1:10" ht="24" customHeight="1">
      <c r="A353" s="37">
        <v>673016</v>
      </c>
      <c r="B353" s="4" t="s">
        <v>85</v>
      </c>
      <c r="C353" s="5">
        <v>4.62</v>
      </c>
      <c r="D353" s="5"/>
      <c r="E353" s="5"/>
      <c r="F353" s="21">
        <v>5</v>
      </c>
      <c r="G353" s="5">
        <v>3.5</v>
      </c>
      <c r="H353" s="24">
        <f>+F353*0.965</f>
        <v>4.8250000000000002</v>
      </c>
      <c r="I353" s="27"/>
      <c r="J353" s="40">
        <f t="shared" si="148"/>
        <v>0</v>
      </c>
    </row>
    <row r="354" spans="1:10" ht="24" customHeight="1">
      <c r="A354" s="37">
        <v>684560</v>
      </c>
      <c r="B354" s="4" t="s">
        <v>310</v>
      </c>
      <c r="C354" s="5">
        <v>9.5</v>
      </c>
      <c r="D354" s="5"/>
      <c r="E354" s="5"/>
      <c r="F354" s="21">
        <v>10.28</v>
      </c>
      <c r="G354" s="5">
        <v>3.5</v>
      </c>
      <c r="H354" s="24">
        <f>+F354*0.965</f>
        <v>9.9201999999999995</v>
      </c>
      <c r="I354" s="27"/>
      <c r="J354" s="40">
        <f t="shared" ref="J354" si="151">+I354*H354</f>
        <v>0</v>
      </c>
    </row>
    <row r="355" spans="1:10" ht="24" customHeight="1">
      <c r="A355" s="37">
        <v>957753</v>
      </c>
      <c r="B355" s="4" t="s">
        <v>412</v>
      </c>
      <c r="C355" s="5">
        <v>12.67</v>
      </c>
      <c r="D355" s="5"/>
      <c r="E355" s="5"/>
      <c r="F355" s="21">
        <v>13.71</v>
      </c>
      <c r="G355" s="5">
        <v>3.5</v>
      </c>
      <c r="H355" s="24">
        <f>+F355*0.965</f>
        <v>13.23015</v>
      </c>
      <c r="I355" s="27"/>
      <c r="J355" s="40">
        <f t="shared" ref="J355" si="152">+I355*H355</f>
        <v>0</v>
      </c>
    </row>
    <row r="356" spans="1:10" ht="24" customHeight="1">
      <c r="A356" s="37">
        <v>681975</v>
      </c>
      <c r="B356" s="4" t="s">
        <v>646</v>
      </c>
      <c r="C356" s="5">
        <v>100</v>
      </c>
      <c r="D356" s="5"/>
      <c r="E356" s="5"/>
      <c r="F356" s="21">
        <v>107.54</v>
      </c>
      <c r="G356" s="5">
        <v>3.5</v>
      </c>
      <c r="H356" s="24">
        <f t="shared" ref="H356:H360" si="153">+F356*0.965</f>
        <v>103.7761</v>
      </c>
      <c r="I356" s="27"/>
      <c r="J356" s="40">
        <f t="shared" ref="J356:J360" si="154">+I356*H356</f>
        <v>0</v>
      </c>
    </row>
    <row r="357" spans="1:10" ht="24" customHeight="1">
      <c r="A357" s="37">
        <v>727565</v>
      </c>
      <c r="B357" s="4" t="s">
        <v>848</v>
      </c>
      <c r="C357" s="5">
        <v>7.5</v>
      </c>
      <c r="D357" s="5"/>
      <c r="E357" s="5"/>
      <c r="F357" s="21">
        <v>8.1199999999999992</v>
      </c>
      <c r="G357" s="5">
        <v>3.5</v>
      </c>
      <c r="H357" s="24">
        <f t="shared" si="153"/>
        <v>7.835799999999999</v>
      </c>
      <c r="I357" s="27"/>
      <c r="J357" s="40">
        <f t="shared" si="154"/>
        <v>0</v>
      </c>
    </row>
    <row r="358" spans="1:10" ht="24" customHeight="1">
      <c r="A358" s="37">
        <v>660833</v>
      </c>
      <c r="B358" s="4" t="s">
        <v>647</v>
      </c>
      <c r="C358" s="5">
        <v>6.14</v>
      </c>
      <c r="D358" s="5"/>
      <c r="E358" s="5"/>
      <c r="F358" s="21">
        <v>6.65</v>
      </c>
      <c r="G358" s="5">
        <v>3.5</v>
      </c>
      <c r="H358" s="24">
        <f t="shared" si="153"/>
        <v>6.4172500000000001</v>
      </c>
      <c r="I358" s="27"/>
      <c r="J358" s="40">
        <f t="shared" si="154"/>
        <v>0</v>
      </c>
    </row>
    <row r="359" spans="1:10" ht="24" customHeight="1">
      <c r="A359" s="37">
        <v>660838</v>
      </c>
      <c r="B359" s="4" t="s">
        <v>648</v>
      </c>
      <c r="C359" s="5">
        <v>12.27</v>
      </c>
      <c r="D359" s="5"/>
      <c r="E359" s="5"/>
      <c r="F359" s="21">
        <v>13.28</v>
      </c>
      <c r="G359" s="5">
        <v>3.5</v>
      </c>
      <c r="H359" s="24">
        <f t="shared" si="153"/>
        <v>12.815199999999999</v>
      </c>
      <c r="I359" s="27"/>
      <c r="J359" s="40">
        <f t="shared" si="154"/>
        <v>0</v>
      </c>
    </row>
    <row r="360" spans="1:10" ht="24" customHeight="1">
      <c r="A360" s="37">
        <v>660842</v>
      </c>
      <c r="B360" s="4" t="s">
        <v>649</v>
      </c>
      <c r="C360" s="5">
        <v>18.41</v>
      </c>
      <c r="D360" s="5"/>
      <c r="E360" s="5"/>
      <c r="F360" s="21">
        <v>19.920000000000002</v>
      </c>
      <c r="G360" s="5">
        <v>3.5</v>
      </c>
      <c r="H360" s="24">
        <f t="shared" si="153"/>
        <v>19.222799999999999</v>
      </c>
      <c r="I360" s="27"/>
      <c r="J360" s="40">
        <f t="shared" si="154"/>
        <v>0</v>
      </c>
    </row>
    <row r="361" spans="1:10" ht="24" customHeight="1">
      <c r="A361" s="37">
        <v>939579</v>
      </c>
      <c r="B361" s="4" t="s">
        <v>178</v>
      </c>
      <c r="C361" s="5">
        <v>1.6</v>
      </c>
      <c r="D361" s="5"/>
      <c r="E361" s="5"/>
      <c r="F361" s="21">
        <v>1.73</v>
      </c>
      <c r="G361" s="5">
        <v>3.5</v>
      </c>
      <c r="H361" s="24">
        <f>+F361*0.965</f>
        <v>1.6694499999999999</v>
      </c>
      <c r="I361" s="27"/>
      <c r="J361" s="40">
        <f t="shared" si="148"/>
        <v>0</v>
      </c>
    </row>
    <row r="362" spans="1:10" ht="24" customHeight="1">
      <c r="A362" s="37"/>
      <c r="B362" s="4" t="s">
        <v>443</v>
      </c>
      <c r="C362" s="5">
        <v>1.6</v>
      </c>
      <c r="D362" s="5"/>
      <c r="E362" s="5"/>
      <c r="F362" s="21">
        <v>1.73</v>
      </c>
      <c r="G362" s="5">
        <v>5</v>
      </c>
      <c r="H362" s="24">
        <f>+F362*0.95</f>
        <v>1.6435</v>
      </c>
      <c r="I362" s="27"/>
      <c r="J362" s="40">
        <f t="shared" si="148"/>
        <v>0</v>
      </c>
    </row>
    <row r="363" spans="1:10" ht="24" hidden="1" customHeight="1">
      <c r="A363" s="344" t="s">
        <v>683</v>
      </c>
      <c r="B363" s="345"/>
      <c r="C363" s="345"/>
      <c r="D363" s="345"/>
      <c r="E363" s="345"/>
      <c r="F363" s="345"/>
      <c r="G363" s="345"/>
      <c r="H363" s="345"/>
      <c r="I363" s="26"/>
      <c r="J363" s="36"/>
    </row>
    <row r="364" spans="1:10" ht="24" hidden="1" customHeight="1">
      <c r="A364" s="37">
        <v>816462</v>
      </c>
      <c r="B364" s="4" t="s">
        <v>684</v>
      </c>
      <c r="C364" s="5">
        <v>19.760000000000002</v>
      </c>
      <c r="D364" s="5"/>
      <c r="E364" s="5"/>
      <c r="F364" s="5">
        <v>21.38</v>
      </c>
      <c r="G364" s="5">
        <v>3.5</v>
      </c>
      <c r="H364" s="24">
        <f t="shared" ref="H364" si="155">+F364*0.965</f>
        <v>20.631699999999999</v>
      </c>
      <c r="I364" s="27"/>
      <c r="J364" s="40">
        <f t="shared" ref="J364" si="156">+I364*H364</f>
        <v>0</v>
      </c>
    </row>
    <row r="365" spans="1:10" ht="24" customHeight="1">
      <c r="A365" s="344" t="s">
        <v>509</v>
      </c>
      <c r="B365" s="345"/>
      <c r="C365" s="345"/>
      <c r="D365" s="345"/>
      <c r="E365" s="345"/>
      <c r="F365" s="345"/>
      <c r="G365" s="345"/>
      <c r="H365" s="345"/>
      <c r="I365" s="26"/>
      <c r="J365" s="36"/>
    </row>
    <row r="366" spans="1:10" ht="24" customHeight="1">
      <c r="A366" s="37">
        <v>656798</v>
      </c>
      <c r="B366" s="4" t="s">
        <v>436</v>
      </c>
      <c r="C366" s="5">
        <v>9.1999999999999993</v>
      </c>
      <c r="D366" s="5"/>
      <c r="E366" s="5"/>
      <c r="F366" s="21">
        <v>9.9600000000000009</v>
      </c>
      <c r="G366" s="5">
        <v>3.5</v>
      </c>
      <c r="H366" s="24">
        <f t="shared" ref="H366:H371" si="157">+F366*0.965</f>
        <v>9.6113999999999997</v>
      </c>
      <c r="I366" s="27"/>
      <c r="J366" s="40">
        <f t="shared" ref="J366:J371" si="158">+I366*H366</f>
        <v>0</v>
      </c>
    </row>
    <row r="367" spans="1:10" ht="24" customHeight="1">
      <c r="A367" s="37">
        <v>661499</v>
      </c>
      <c r="B367" s="4" t="s">
        <v>437</v>
      </c>
      <c r="C367" s="5">
        <v>9</v>
      </c>
      <c r="D367" s="5"/>
      <c r="E367" s="5"/>
      <c r="F367" s="21">
        <v>9.74</v>
      </c>
      <c r="G367" s="5">
        <v>3.5</v>
      </c>
      <c r="H367" s="24">
        <f t="shared" si="157"/>
        <v>9.3991000000000007</v>
      </c>
      <c r="I367" s="27"/>
      <c r="J367" s="40">
        <f t="shared" si="158"/>
        <v>0</v>
      </c>
    </row>
    <row r="368" spans="1:10" ht="24" customHeight="1">
      <c r="A368" s="37">
        <v>672587</v>
      </c>
      <c r="B368" s="4" t="s">
        <v>510</v>
      </c>
      <c r="C368" s="5">
        <v>9.1999999999999993</v>
      </c>
      <c r="D368" s="5"/>
      <c r="E368" s="5"/>
      <c r="F368" s="21">
        <v>9.9600000000000009</v>
      </c>
      <c r="G368" s="5">
        <v>3.5</v>
      </c>
      <c r="H368" s="24">
        <f t="shared" si="157"/>
        <v>9.6113999999999997</v>
      </c>
      <c r="I368" s="27"/>
      <c r="J368" s="40">
        <f t="shared" si="158"/>
        <v>0</v>
      </c>
    </row>
    <row r="369" spans="1:10" ht="24" customHeight="1">
      <c r="A369" s="37">
        <v>833434</v>
      </c>
      <c r="B369" s="4" t="s">
        <v>434</v>
      </c>
      <c r="C369" s="5">
        <v>25.63</v>
      </c>
      <c r="D369" s="5"/>
      <c r="E369" s="5"/>
      <c r="F369" s="21">
        <v>27.74</v>
      </c>
      <c r="G369" s="5">
        <v>3.5</v>
      </c>
      <c r="H369" s="24">
        <f t="shared" si="157"/>
        <v>26.769099999999998</v>
      </c>
      <c r="I369" s="27"/>
      <c r="J369" s="40">
        <f t="shared" si="158"/>
        <v>0</v>
      </c>
    </row>
    <row r="370" spans="1:10" ht="24" customHeight="1">
      <c r="A370" s="37">
        <v>841247</v>
      </c>
      <c r="B370" s="4" t="s">
        <v>435</v>
      </c>
      <c r="C370" s="5">
        <v>25.63</v>
      </c>
      <c r="D370" s="5"/>
      <c r="E370" s="5"/>
      <c r="F370" s="21">
        <v>27.74</v>
      </c>
      <c r="G370" s="5">
        <v>3.5</v>
      </c>
      <c r="H370" s="24">
        <f t="shared" si="157"/>
        <v>26.769099999999998</v>
      </c>
      <c r="I370" s="27"/>
      <c r="J370" s="40">
        <f t="shared" si="158"/>
        <v>0</v>
      </c>
    </row>
    <row r="371" spans="1:10" ht="24" customHeight="1">
      <c r="A371" s="37">
        <v>703003</v>
      </c>
      <c r="B371" s="4" t="s">
        <v>511</v>
      </c>
      <c r="C371" s="5">
        <v>8.6300000000000008</v>
      </c>
      <c r="D371" s="5"/>
      <c r="E371" s="5"/>
      <c r="F371" s="21">
        <v>9.34</v>
      </c>
      <c r="G371" s="5">
        <v>3.5</v>
      </c>
      <c r="H371" s="24">
        <f t="shared" si="157"/>
        <v>9.0130999999999997</v>
      </c>
      <c r="I371" s="27"/>
      <c r="J371" s="40">
        <f t="shared" si="158"/>
        <v>0</v>
      </c>
    </row>
    <row r="372" spans="1:10" ht="24" customHeight="1">
      <c r="A372" s="337" t="s">
        <v>379</v>
      </c>
      <c r="B372" s="338"/>
      <c r="C372" s="338"/>
      <c r="D372" s="338"/>
      <c r="E372" s="338"/>
      <c r="F372" s="338"/>
      <c r="G372" s="338"/>
      <c r="H372" s="339"/>
      <c r="I372" s="26"/>
      <c r="J372" s="36"/>
    </row>
    <row r="373" spans="1:10" ht="24" customHeight="1">
      <c r="A373" s="44">
        <v>653790</v>
      </c>
      <c r="B373" s="7" t="s">
        <v>380</v>
      </c>
      <c r="C373" s="5">
        <v>5.59</v>
      </c>
      <c r="D373" s="5"/>
      <c r="E373" s="5"/>
      <c r="F373" s="21">
        <v>6.05</v>
      </c>
      <c r="G373" s="5">
        <v>3.5</v>
      </c>
      <c r="H373" s="24">
        <f t="shared" ref="H373:H374" si="159">F373*0.965</f>
        <v>5.8382499999999995</v>
      </c>
      <c r="I373" s="27"/>
      <c r="J373" s="38">
        <f t="shared" ref="J373:J374" si="160">+I373*H373</f>
        <v>0</v>
      </c>
    </row>
    <row r="374" spans="1:10" ht="24" customHeight="1">
      <c r="A374" s="44">
        <v>933176</v>
      </c>
      <c r="B374" s="7" t="s">
        <v>381</v>
      </c>
      <c r="C374" s="5">
        <v>6.66</v>
      </c>
      <c r="D374" s="5"/>
      <c r="E374" s="5"/>
      <c r="F374" s="21">
        <v>7.21</v>
      </c>
      <c r="G374" s="5">
        <v>3.5</v>
      </c>
      <c r="H374" s="24">
        <f t="shared" si="159"/>
        <v>6.9576500000000001</v>
      </c>
      <c r="I374" s="27"/>
      <c r="J374" s="38">
        <f t="shared" si="160"/>
        <v>0</v>
      </c>
    </row>
    <row r="375" spans="1:10" ht="24" customHeight="1">
      <c r="A375" s="44">
        <v>656582</v>
      </c>
      <c r="B375" s="7" t="s">
        <v>390</v>
      </c>
      <c r="C375" s="5">
        <v>2.1</v>
      </c>
      <c r="D375" s="5"/>
      <c r="E375" s="5"/>
      <c r="F375" s="21">
        <v>2.27</v>
      </c>
      <c r="G375" s="5">
        <v>3.5</v>
      </c>
      <c r="H375" s="24">
        <f t="shared" ref="H375" si="161">F375*0.965</f>
        <v>2.19055</v>
      </c>
      <c r="I375" s="27"/>
      <c r="J375" s="38">
        <f t="shared" ref="J375" si="162">+I375*H375</f>
        <v>0</v>
      </c>
    </row>
    <row r="376" spans="1:10" ht="24" customHeight="1">
      <c r="A376" s="337" t="s">
        <v>791</v>
      </c>
      <c r="B376" s="338"/>
      <c r="C376" s="338"/>
      <c r="D376" s="338"/>
      <c r="E376" s="338"/>
      <c r="F376" s="338"/>
      <c r="G376" s="338"/>
      <c r="H376" s="339"/>
      <c r="I376" s="26"/>
      <c r="J376" s="36"/>
    </row>
    <row r="377" spans="1:10" ht="24" hidden="1" customHeight="1">
      <c r="A377" s="44">
        <v>154354</v>
      </c>
      <c r="B377" s="7" t="s">
        <v>792</v>
      </c>
      <c r="C377" s="5">
        <v>8.6999999999999993</v>
      </c>
      <c r="D377" s="5">
        <v>12</v>
      </c>
      <c r="E377" s="5">
        <f>+C377*0.88</f>
        <v>7.6559999999999997</v>
      </c>
      <c r="F377" s="5"/>
      <c r="G377" s="5"/>
      <c r="H377" s="24"/>
      <c r="I377" s="27"/>
      <c r="J377" s="38">
        <f>+I377*E377</f>
        <v>0</v>
      </c>
    </row>
    <row r="378" spans="1:10" ht="24" customHeight="1">
      <c r="A378" s="44">
        <v>154355</v>
      </c>
      <c r="B378" s="7" t="s">
        <v>793</v>
      </c>
      <c r="C378" s="13">
        <v>14.9</v>
      </c>
      <c r="D378" s="5">
        <v>12</v>
      </c>
      <c r="E378" s="5">
        <f>+C378*0.88</f>
        <v>13.112</v>
      </c>
      <c r="F378" s="5"/>
      <c r="G378" s="5"/>
      <c r="H378" s="24"/>
      <c r="I378" s="27"/>
      <c r="J378" s="38">
        <f>+I378*E378</f>
        <v>0</v>
      </c>
    </row>
    <row r="379" spans="1:10" ht="24" customHeight="1">
      <c r="A379" s="337" t="s">
        <v>39</v>
      </c>
      <c r="B379" s="338"/>
      <c r="C379" s="338"/>
      <c r="D379" s="338"/>
      <c r="E379" s="338"/>
      <c r="F379" s="338"/>
      <c r="G379" s="338"/>
      <c r="H379" s="339"/>
      <c r="I379" s="27"/>
      <c r="J379" s="45"/>
    </row>
    <row r="380" spans="1:10" ht="24" customHeight="1">
      <c r="A380" s="37">
        <v>654844</v>
      </c>
      <c r="B380" s="9" t="s">
        <v>40</v>
      </c>
      <c r="C380" s="5">
        <v>14.49</v>
      </c>
      <c r="D380" s="5"/>
      <c r="E380" s="5"/>
      <c r="F380" s="21">
        <v>15.68</v>
      </c>
      <c r="G380" s="5">
        <v>3</v>
      </c>
      <c r="H380" s="24">
        <f>F380*0.97</f>
        <v>15.2096</v>
      </c>
      <c r="I380" s="27"/>
      <c r="J380" s="40">
        <f>+I380*H380</f>
        <v>0</v>
      </c>
    </row>
    <row r="381" spans="1:10" ht="24" customHeight="1">
      <c r="A381" s="37">
        <v>654845</v>
      </c>
      <c r="B381" s="9" t="s">
        <v>41</v>
      </c>
      <c r="C381" s="5">
        <v>14.49</v>
      </c>
      <c r="D381" s="5"/>
      <c r="E381" s="5"/>
      <c r="F381" s="21">
        <v>15.68</v>
      </c>
      <c r="G381" s="5">
        <v>3</v>
      </c>
      <c r="H381" s="24">
        <f t="shared" ref="H381:H407" si="163">F381*0.97</f>
        <v>15.2096</v>
      </c>
      <c r="I381" s="27"/>
      <c r="J381" s="40">
        <f t="shared" ref="J381:J407" si="164">+I381*H381</f>
        <v>0</v>
      </c>
    </row>
    <row r="382" spans="1:10" ht="24" customHeight="1">
      <c r="A382" s="37">
        <v>661492</v>
      </c>
      <c r="B382" s="9" t="s">
        <v>42</v>
      </c>
      <c r="C382" s="5">
        <v>13.73</v>
      </c>
      <c r="D382" s="5"/>
      <c r="E382" s="5"/>
      <c r="F382" s="21">
        <v>14.86</v>
      </c>
      <c r="G382" s="5">
        <v>3</v>
      </c>
      <c r="H382" s="24">
        <f t="shared" si="163"/>
        <v>14.414199999999999</v>
      </c>
      <c r="I382" s="27"/>
      <c r="J382" s="40">
        <f t="shared" si="164"/>
        <v>0</v>
      </c>
    </row>
    <row r="383" spans="1:10" ht="24" customHeight="1">
      <c r="A383" s="37">
        <v>661503</v>
      </c>
      <c r="B383" s="9" t="s">
        <v>43</v>
      </c>
      <c r="C383" s="5">
        <v>6.87</v>
      </c>
      <c r="D383" s="5"/>
      <c r="E383" s="5"/>
      <c r="F383" s="21">
        <v>7.43</v>
      </c>
      <c r="G383" s="5">
        <v>3</v>
      </c>
      <c r="H383" s="24">
        <f t="shared" si="163"/>
        <v>7.2070999999999996</v>
      </c>
      <c r="I383" s="27"/>
      <c r="J383" s="40">
        <f t="shared" si="164"/>
        <v>0</v>
      </c>
    </row>
    <row r="384" spans="1:10" ht="24" customHeight="1">
      <c r="A384" s="37">
        <v>672025</v>
      </c>
      <c r="B384" s="9" t="s">
        <v>44</v>
      </c>
      <c r="C384" s="5">
        <v>13.73</v>
      </c>
      <c r="D384" s="5"/>
      <c r="E384" s="5"/>
      <c r="F384" s="21">
        <v>14.86</v>
      </c>
      <c r="G384" s="5">
        <v>3</v>
      </c>
      <c r="H384" s="24">
        <f t="shared" si="163"/>
        <v>14.414199999999999</v>
      </c>
      <c r="I384" s="27"/>
      <c r="J384" s="40">
        <f t="shared" si="164"/>
        <v>0</v>
      </c>
    </row>
    <row r="385" spans="1:10" ht="24" customHeight="1">
      <c r="A385" s="37">
        <v>678643</v>
      </c>
      <c r="B385" s="9" t="s">
        <v>45</v>
      </c>
      <c r="C385" s="5">
        <v>9.94</v>
      </c>
      <c r="D385" s="5"/>
      <c r="E385" s="5"/>
      <c r="F385" s="21">
        <v>10.76</v>
      </c>
      <c r="G385" s="5">
        <v>3</v>
      </c>
      <c r="H385" s="24">
        <f t="shared" si="163"/>
        <v>10.437199999999999</v>
      </c>
      <c r="I385" s="27"/>
      <c r="J385" s="40">
        <f t="shared" si="164"/>
        <v>0</v>
      </c>
    </row>
    <row r="386" spans="1:10" ht="24" customHeight="1">
      <c r="A386" s="37">
        <v>678647</v>
      </c>
      <c r="B386" s="9" t="s">
        <v>46</v>
      </c>
      <c r="C386" s="5">
        <v>13.94</v>
      </c>
      <c r="D386" s="5"/>
      <c r="E386" s="5"/>
      <c r="F386" s="21">
        <v>15.08</v>
      </c>
      <c r="G386" s="5">
        <v>3</v>
      </c>
      <c r="H386" s="24">
        <f t="shared" si="163"/>
        <v>14.627599999999999</v>
      </c>
      <c r="I386" s="27"/>
      <c r="J386" s="40">
        <f t="shared" si="164"/>
        <v>0</v>
      </c>
    </row>
    <row r="387" spans="1:10" ht="24" customHeight="1">
      <c r="A387" s="37">
        <v>678657</v>
      </c>
      <c r="B387" s="9" t="s">
        <v>47</v>
      </c>
      <c r="C387" s="5">
        <v>13.94</v>
      </c>
      <c r="D387" s="5"/>
      <c r="E387" s="5"/>
      <c r="F387" s="21">
        <v>15.08</v>
      </c>
      <c r="G387" s="5">
        <v>3</v>
      </c>
      <c r="H387" s="24">
        <f t="shared" si="163"/>
        <v>14.627599999999999</v>
      </c>
      <c r="I387" s="27"/>
      <c r="J387" s="40">
        <f t="shared" si="164"/>
        <v>0</v>
      </c>
    </row>
    <row r="388" spans="1:10" ht="24" customHeight="1">
      <c r="A388" s="37">
        <v>707044</v>
      </c>
      <c r="B388" s="9" t="s">
        <v>179</v>
      </c>
      <c r="C388" s="5">
        <v>49</v>
      </c>
      <c r="D388" s="5"/>
      <c r="E388" s="5"/>
      <c r="F388" s="21">
        <v>53.03</v>
      </c>
      <c r="G388" s="5">
        <v>3</v>
      </c>
      <c r="H388" s="24">
        <f t="shared" si="163"/>
        <v>51.439099999999996</v>
      </c>
      <c r="I388" s="27"/>
      <c r="J388" s="40">
        <f t="shared" si="164"/>
        <v>0</v>
      </c>
    </row>
    <row r="389" spans="1:10" ht="24" customHeight="1">
      <c r="A389" s="37">
        <v>707043</v>
      </c>
      <c r="B389" s="9" t="s">
        <v>180</v>
      </c>
      <c r="C389" s="5">
        <v>49</v>
      </c>
      <c r="D389" s="5"/>
      <c r="E389" s="5"/>
      <c r="F389" s="21">
        <v>53.03</v>
      </c>
      <c r="G389" s="5">
        <v>3</v>
      </c>
      <c r="H389" s="24">
        <f t="shared" si="163"/>
        <v>51.439099999999996</v>
      </c>
      <c r="I389" s="27"/>
      <c r="J389" s="40">
        <f t="shared" si="164"/>
        <v>0</v>
      </c>
    </row>
    <row r="390" spans="1:10" ht="24" hidden="1" customHeight="1">
      <c r="A390" s="37">
        <v>700621</v>
      </c>
      <c r="B390" s="9" t="s">
        <v>221</v>
      </c>
      <c r="C390" s="5">
        <v>21.4</v>
      </c>
      <c r="D390" s="5"/>
      <c r="E390" s="5"/>
      <c r="F390" s="21">
        <v>23.16</v>
      </c>
      <c r="G390" s="5">
        <v>3</v>
      </c>
      <c r="H390" s="24">
        <f t="shared" si="163"/>
        <v>22.465199999999999</v>
      </c>
      <c r="I390" s="27"/>
      <c r="J390" s="40">
        <f t="shared" si="164"/>
        <v>0</v>
      </c>
    </row>
    <row r="391" spans="1:10" ht="24" customHeight="1">
      <c r="A391" s="37">
        <v>877530</v>
      </c>
      <c r="B391" s="9" t="s">
        <v>48</v>
      </c>
      <c r="C391" s="5">
        <v>3.23</v>
      </c>
      <c r="D391" s="5"/>
      <c r="E391" s="5"/>
      <c r="F391" s="21">
        <v>3.5</v>
      </c>
      <c r="G391" s="5">
        <v>3</v>
      </c>
      <c r="H391" s="24">
        <f t="shared" si="163"/>
        <v>3.395</v>
      </c>
      <c r="I391" s="27"/>
      <c r="J391" s="40">
        <f t="shared" si="164"/>
        <v>0</v>
      </c>
    </row>
    <row r="392" spans="1:10" ht="24" customHeight="1">
      <c r="A392" s="37">
        <v>884684</v>
      </c>
      <c r="B392" s="9" t="s">
        <v>49</v>
      </c>
      <c r="C392" s="5">
        <v>6.46</v>
      </c>
      <c r="D392" s="5"/>
      <c r="E392" s="5"/>
      <c r="F392" s="21">
        <v>6.99</v>
      </c>
      <c r="G392" s="5">
        <v>3</v>
      </c>
      <c r="H392" s="24">
        <f t="shared" si="163"/>
        <v>6.7803000000000004</v>
      </c>
      <c r="I392" s="27"/>
      <c r="J392" s="40">
        <f t="shared" si="164"/>
        <v>0</v>
      </c>
    </row>
    <row r="393" spans="1:10" ht="24" customHeight="1">
      <c r="A393" s="37">
        <v>884742</v>
      </c>
      <c r="B393" s="9" t="s">
        <v>50</v>
      </c>
      <c r="C393" s="5">
        <v>12.92</v>
      </c>
      <c r="D393" s="5"/>
      <c r="E393" s="5"/>
      <c r="F393" s="21">
        <v>13.98</v>
      </c>
      <c r="G393" s="5">
        <v>3</v>
      </c>
      <c r="H393" s="24">
        <f t="shared" si="163"/>
        <v>13.560600000000001</v>
      </c>
      <c r="I393" s="27"/>
      <c r="J393" s="40">
        <f t="shared" si="164"/>
        <v>0</v>
      </c>
    </row>
    <row r="394" spans="1:10" ht="24" customHeight="1">
      <c r="A394" s="37">
        <v>654124</v>
      </c>
      <c r="B394" s="9" t="s">
        <v>51</v>
      </c>
      <c r="C394" s="5">
        <v>6.47</v>
      </c>
      <c r="D394" s="5"/>
      <c r="E394" s="5"/>
      <c r="F394" s="21">
        <v>7</v>
      </c>
      <c r="G394" s="5">
        <v>3</v>
      </c>
      <c r="H394" s="24">
        <f t="shared" si="163"/>
        <v>6.79</v>
      </c>
      <c r="I394" s="27"/>
      <c r="J394" s="40">
        <f t="shared" si="164"/>
        <v>0</v>
      </c>
    </row>
    <row r="395" spans="1:10" ht="24" customHeight="1">
      <c r="A395" s="37">
        <v>654140</v>
      </c>
      <c r="B395" s="9" t="s">
        <v>52</v>
      </c>
      <c r="C395" s="5">
        <v>6.47</v>
      </c>
      <c r="D395" s="5"/>
      <c r="E395" s="5"/>
      <c r="F395" s="21">
        <v>7</v>
      </c>
      <c r="G395" s="5">
        <v>3</v>
      </c>
      <c r="H395" s="24">
        <f t="shared" si="163"/>
        <v>6.79</v>
      </c>
      <c r="I395" s="27"/>
      <c r="J395" s="40">
        <f t="shared" si="164"/>
        <v>0</v>
      </c>
    </row>
    <row r="396" spans="1:10" ht="24" customHeight="1">
      <c r="A396" s="37">
        <v>674888</v>
      </c>
      <c r="B396" s="9" t="s">
        <v>53</v>
      </c>
      <c r="C396" s="5">
        <v>12.93</v>
      </c>
      <c r="D396" s="5"/>
      <c r="E396" s="5"/>
      <c r="F396" s="21">
        <v>13.99</v>
      </c>
      <c r="G396" s="5">
        <v>3</v>
      </c>
      <c r="H396" s="24">
        <f t="shared" si="163"/>
        <v>13.5703</v>
      </c>
      <c r="I396" s="27"/>
      <c r="J396" s="40">
        <f t="shared" si="164"/>
        <v>0</v>
      </c>
    </row>
    <row r="397" spans="1:10" ht="24" customHeight="1">
      <c r="A397" s="37">
        <v>674892</v>
      </c>
      <c r="B397" s="9" t="s">
        <v>54</v>
      </c>
      <c r="C397" s="5">
        <v>12.93</v>
      </c>
      <c r="D397" s="5"/>
      <c r="E397" s="5"/>
      <c r="F397" s="21">
        <v>13.99</v>
      </c>
      <c r="G397" s="5">
        <v>3</v>
      </c>
      <c r="H397" s="24">
        <f t="shared" si="163"/>
        <v>13.5703</v>
      </c>
      <c r="I397" s="27"/>
      <c r="J397" s="40">
        <f t="shared" si="164"/>
        <v>0</v>
      </c>
    </row>
    <row r="398" spans="1:10" ht="24" customHeight="1">
      <c r="A398" s="37">
        <v>877654</v>
      </c>
      <c r="B398" s="4" t="s">
        <v>125</v>
      </c>
      <c r="C398" s="5">
        <v>3.23</v>
      </c>
      <c r="D398" s="5"/>
      <c r="E398" s="5"/>
      <c r="F398" s="21">
        <v>3.5</v>
      </c>
      <c r="G398" s="5">
        <v>3</v>
      </c>
      <c r="H398" s="24">
        <f t="shared" si="163"/>
        <v>3.395</v>
      </c>
      <c r="I398" s="27"/>
      <c r="J398" s="40">
        <f t="shared" si="164"/>
        <v>0</v>
      </c>
    </row>
    <row r="399" spans="1:10" ht="24" customHeight="1">
      <c r="A399" s="37">
        <v>879106</v>
      </c>
      <c r="B399" s="4" t="s">
        <v>126</v>
      </c>
      <c r="C399" s="5">
        <v>6.46</v>
      </c>
      <c r="D399" s="5"/>
      <c r="E399" s="5"/>
      <c r="F399" s="21">
        <v>6.99</v>
      </c>
      <c r="G399" s="5">
        <v>3</v>
      </c>
      <c r="H399" s="24">
        <f t="shared" si="163"/>
        <v>6.7803000000000004</v>
      </c>
      <c r="I399" s="27"/>
      <c r="J399" s="40">
        <f t="shared" si="164"/>
        <v>0</v>
      </c>
    </row>
    <row r="400" spans="1:10" ht="24" customHeight="1">
      <c r="A400" s="37">
        <v>882209</v>
      </c>
      <c r="B400" s="4" t="s">
        <v>127</v>
      </c>
      <c r="C400" s="5">
        <v>12.92</v>
      </c>
      <c r="D400" s="5"/>
      <c r="E400" s="5"/>
      <c r="F400" s="21">
        <v>13.98</v>
      </c>
      <c r="G400" s="5">
        <v>3</v>
      </c>
      <c r="H400" s="24">
        <f t="shared" si="163"/>
        <v>13.560600000000001</v>
      </c>
      <c r="I400" s="27"/>
      <c r="J400" s="40">
        <f t="shared" si="164"/>
        <v>0</v>
      </c>
    </row>
    <row r="401" spans="1:10" ht="24" customHeight="1">
      <c r="A401" s="37">
        <v>654141</v>
      </c>
      <c r="B401" s="4" t="s">
        <v>128</v>
      </c>
      <c r="C401" s="5">
        <v>6.47</v>
      </c>
      <c r="D401" s="5"/>
      <c r="E401" s="5"/>
      <c r="F401" s="21">
        <v>7</v>
      </c>
      <c r="G401" s="5">
        <v>3</v>
      </c>
      <c r="H401" s="24">
        <f t="shared" si="163"/>
        <v>6.79</v>
      </c>
      <c r="I401" s="27"/>
      <c r="J401" s="40">
        <f t="shared" si="164"/>
        <v>0</v>
      </c>
    </row>
    <row r="402" spans="1:10" ht="24" customHeight="1">
      <c r="A402" s="37">
        <v>654139</v>
      </c>
      <c r="B402" s="4" t="s">
        <v>129</v>
      </c>
      <c r="C402" s="5">
        <v>6.47</v>
      </c>
      <c r="D402" s="5"/>
      <c r="E402" s="5"/>
      <c r="F402" s="21">
        <v>7</v>
      </c>
      <c r="G402" s="5">
        <v>3</v>
      </c>
      <c r="H402" s="24">
        <f t="shared" si="163"/>
        <v>6.79</v>
      </c>
      <c r="I402" s="27"/>
      <c r="J402" s="40">
        <f t="shared" si="164"/>
        <v>0</v>
      </c>
    </row>
    <row r="403" spans="1:10" ht="24" customHeight="1">
      <c r="A403" s="37">
        <v>674883</v>
      </c>
      <c r="B403" s="4" t="s">
        <v>131</v>
      </c>
      <c r="C403" s="5">
        <v>12.93</v>
      </c>
      <c r="D403" s="5"/>
      <c r="E403" s="5"/>
      <c r="F403" s="21">
        <v>13.99</v>
      </c>
      <c r="G403" s="5">
        <v>3</v>
      </c>
      <c r="H403" s="24">
        <f t="shared" si="163"/>
        <v>13.5703</v>
      </c>
      <c r="I403" s="27"/>
      <c r="J403" s="40">
        <f t="shared" si="164"/>
        <v>0</v>
      </c>
    </row>
    <row r="404" spans="1:10" ht="24" customHeight="1">
      <c r="A404" s="37">
        <v>674878</v>
      </c>
      <c r="B404" s="4" t="s">
        <v>130</v>
      </c>
      <c r="C404" s="5">
        <v>12.93</v>
      </c>
      <c r="D404" s="5"/>
      <c r="E404" s="5"/>
      <c r="F404" s="21">
        <v>13.99</v>
      </c>
      <c r="G404" s="5">
        <v>3</v>
      </c>
      <c r="H404" s="24">
        <f t="shared" si="163"/>
        <v>13.5703</v>
      </c>
      <c r="I404" s="27"/>
      <c r="J404" s="40">
        <f t="shared" si="164"/>
        <v>0</v>
      </c>
    </row>
    <row r="405" spans="1:10" ht="24" customHeight="1">
      <c r="A405" s="44">
        <v>661483</v>
      </c>
      <c r="B405" s="7" t="s">
        <v>291</v>
      </c>
      <c r="C405" s="5">
        <v>6.87</v>
      </c>
      <c r="D405" s="5"/>
      <c r="E405" s="5"/>
      <c r="F405" s="21">
        <v>7.43</v>
      </c>
      <c r="G405" s="5">
        <v>3</v>
      </c>
      <c r="H405" s="24">
        <f t="shared" si="163"/>
        <v>7.2070999999999996</v>
      </c>
      <c r="I405" s="27"/>
      <c r="J405" s="40">
        <f t="shared" si="164"/>
        <v>0</v>
      </c>
    </row>
    <row r="406" spans="1:10" ht="24" customHeight="1">
      <c r="A406" s="44">
        <v>661490</v>
      </c>
      <c r="B406" s="7" t="s">
        <v>292</v>
      </c>
      <c r="C406" s="5">
        <v>13.73</v>
      </c>
      <c r="D406" s="5"/>
      <c r="E406" s="5"/>
      <c r="F406" s="21">
        <v>14.86</v>
      </c>
      <c r="G406" s="5">
        <v>3</v>
      </c>
      <c r="H406" s="24">
        <f t="shared" si="163"/>
        <v>14.414199999999999</v>
      </c>
      <c r="I406" s="27"/>
      <c r="J406" s="40">
        <f t="shared" si="164"/>
        <v>0</v>
      </c>
    </row>
    <row r="407" spans="1:10" ht="24" customHeight="1">
      <c r="A407" s="44">
        <v>672035</v>
      </c>
      <c r="B407" s="7" t="s">
        <v>293</v>
      </c>
      <c r="C407" s="5">
        <v>13.73</v>
      </c>
      <c r="D407" s="5"/>
      <c r="E407" s="5"/>
      <c r="F407" s="21">
        <v>14.86</v>
      </c>
      <c r="G407" s="5">
        <v>3</v>
      </c>
      <c r="H407" s="24">
        <f t="shared" si="163"/>
        <v>14.414199999999999</v>
      </c>
      <c r="I407" s="27"/>
      <c r="J407" s="40">
        <f t="shared" si="164"/>
        <v>0</v>
      </c>
    </row>
    <row r="408" spans="1:10" ht="24" customHeight="1">
      <c r="A408" s="44">
        <v>679042</v>
      </c>
      <c r="B408" s="7" t="s">
        <v>593</v>
      </c>
      <c r="C408" s="5">
        <v>9.94</v>
      </c>
      <c r="D408" s="5"/>
      <c r="E408" s="5"/>
      <c r="F408" s="21">
        <v>10.76</v>
      </c>
      <c r="G408" s="5">
        <v>3</v>
      </c>
      <c r="H408" s="24">
        <f t="shared" ref="H408:H411" si="165">F408*0.97</f>
        <v>10.437199999999999</v>
      </c>
      <c r="I408" s="27"/>
      <c r="J408" s="40">
        <f t="shared" ref="J408:J411" si="166">+I408*H408</f>
        <v>0</v>
      </c>
    </row>
    <row r="409" spans="1:10" ht="24" customHeight="1">
      <c r="A409" s="44">
        <v>654843</v>
      </c>
      <c r="B409" s="7" t="s">
        <v>594</v>
      </c>
      <c r="C409" s="5">
        <v>14.49</v>
      </c>
      <c r="D409" s="5"/>
      <c r="E409" s="5"/>
      <c r="F409" s="21">
        <v>15.68</v>
      </c>
      <c r="G409" s="5">
        <v>3</v>
      </c>
      <c r="H409" s="24">
        <f t="shared" si="165"/>
        <v>15.2096</v>
      </c>
      <c r="I409" s="27"/>
      <c r="J409" s="40">
        <f t="shared" si="166"/>
        <v>0</v>
      </c>
    </row>
    <row r="410" spans="1:10" ht="24" customHeight="1">
      <c r="A410" s="44">
        <v>654842</v>
      </c>
      <c r="B410" s="7" t="s">
        <v>595</v>
      </c>
      <c r="C410" s="5">
        <v>14.49</v>
      </c>
      <c r="D410" s="5"/>
      <c r="E410" s="5"/>
      <c r="F410" s="21">
        <v>15.68</v>
      </c>
      <c r="G410" s="5">
        <v>3</v>
      </c>
      <c r="H410" s="24">
        <f t="shared" si="165"/>
        <v>15.2096</v>
      </c>
      <c r="I410" s="27"/>
      <c r="J410" s="40">
        <f t="shared" si="166"/>
        <v>0</v>
      </c>
    </row>
    <row r="411" spans="1:10" ht="24" customHeight="1">
      <c r="A411" s="44">
        <v>679046</v>
      </c>
      <c r="B411" s="7" t="s">
        <v>596</v>
      </c>
      <c r="C411" s="5">
        <v>13.94</v>
      </c>
      <c r="D411" s="5"/>
      <c r="E411" s="5"/>
      <c r="F411" s="21">
        <v>15.08</v>
      </c>
      <c r="G411" s="5">
        <v>3</v>
      </c>
      <c r="H411" s="24">
        <f t="shared" si="165"/>
        <v>14.627599999999999</v>
      </c>
      <c r="I411" s="27"/>
      <c r="J411" s="40">
        <f t="shared" si="166"/>
        <v>0</v>
      </c>
    </row>
    <row r="412" spans="1:10" ht="24" customHeight="1">
      <c r="A412" s="44">
        <v>678588</v>
      </c>
      <c r="B412" s="7" t="s">
        <v>597</v>
      </c>
      <c r="C412" s="5">
        <v>13.94</v>
      </c>
      <c r="D412" s="5"/>
      <c r="E412" s="5"/>
      <c r="F412" s="21">
        <v>15.08</v>
      </c>
      <c r="G412" s="5">
        <v>3</v>
      </c>
      <c r="H412" s="24">
        <f t="shared" ref="H412" si="167">F412*0.97</f>
        <v>14.627599999999999</v>
      </c>
      <c r="I412" s="27"/>
      <c r="J412" s="40">
        <f t="shared" ref="J412" si="168">+I412*H412</f>
        <v>0</v>
      </c>
    </row>
    <row r="413" spans="1:10" s="10" customFormat="1" ht="24" customHeight="1">
      <c r="A413" s="42"/>
      <c r="B413" s="32"/>
      <c r="C413" s="33" t="s">
        <v>285</v>
      </c>
      <c r="D413" s="32"/>
      <c r="E413" s="19"/>
      <c r="F413" s="1"/>
      <c r="G413" s="1"/>
      <c r="H413" s="23"/>
      <c r="I413" s="30"/>
      <c r="J413" s="43"/>
    </row>
    <row r="414" spans="1:10" s="10" customFormat="1" ht="24" customHeight="1">
      <c r="A414" s="42"/>
      <c r="B414" s="32"/>
      <c r="C414" s="33" t="s">
        <v>286</v>
      </c>
      <c r="D414" s="32"/>
      <c r="E414" s="19"/>
      <c r="F414" s="1"/>
      <c r="G414" s="1"/>
      <c r="H414" s="23"/>
      <c r="I414" s="30"/>
      <c r="J414" s="43"/>
    </row>
    <row r="415" spans="1:10" s="10" customFormat="1" ht="24" customHeight="1">
      <c r="A415" s="42"/>
      <c r="B415" s="32"/>
      <c r="C415" s="33" t="s">
        <v>287</v>
      </c>
      <c r="D415" s="32"/>
      <c r="E415" s="19"/>
      <c r="F415" s="1"/>
      <c r="G415" s="1"/>
      <c r="H415" s="23"/>
      <c r="I415" s="30"/>
      <c r="J415" s="43"/>
    </row>
    <row r="416" spans="1:10" s="10" customFormat="1" ht="24" customHeight="1">
      <c r="A416" s="42"/>
      <c r="B416" s="32"/>
      <c r="C416" s="33" t="s">
        <v>294</v>
      </c>
      <c r="D416" s="32"/>
      <c r="E416" s="19"/>
      <c r="F416" s="1"/>
      <c r="G416" s="1"/>
      <c r="H416" s="23"/>
      <c r="I416" s="30"/>
      <c r="J416" s="43"/>
    </row>
    <row r="417" spans="1:13" ht="24" customHeight="1">
      <c r="A417" s="340" t="s">
        <v>62</v>
      </c>
      <c r="B417" s="341"/>
      <c r="C417" s="341"/>
      <c r="D417" s="341"/>
      <c r="E417" s="341"/>
      <c r="F417" s="341"/>
      <c r="G417" s="341"/>
      <c r="H417" s="341"/>
      <c r="I417" s="29"/>
      <c r="J417" s="41"/>
    </row>
    <row r="418" spans="1:13" ht="24" customHeight="1">
      <c r="A418" s="37">
        <v>651465</v>
      </c>
      <c r="B418" s="9" t="s">
        <v>63</v>
      </c>
      <c r="C418" s="5">
        <v>2.97</v>
      </c>
      <c r="D418" s="5"/>
      <c r="E418" s="5"/>
      <c r="F418" s="21">
        <v>3.22</v>
      </c>
      <c r="G418" s="5">
        <v>3</v>
      </c>
      <c r="H418" s="24">
        <f t="shared" ref="H418" si="169">F418*0.97</f>
        <v>3.1234000000000002</v>
      </c>
      <c r="I418" s="27"/>
      <c r="J418" s="40">
        <f>+H418*I418</f>
        <v>0</v>
      </c>
    </row>
    <row r="419" spans="1:13" ht="24" customHeight="1">
      <c r="A419" s="37">
        <v>663682</v>
      </c>
      <c r="B419" s="9" t="s">
        <v>64</v>
      </c>
      <c r="C419" s="5">
        <v>3.27</v>
      </c>
      <c r="D419" s="5"/>
      <c r="E419" s="5"/>
      <c r="F419" s="21">
        <v>3.54</v>
      </c>
      <c r="G419" s="5">
        <v>3</v>
      </c>
      <c r="H419" s="24">
        <f t="shared" ref="H419:H437" si="170">F419*0.97</f>
        <v>3.4337999999999997</v>
      </c>
      <c r="I419" s="27"/>
      <c r="J419" s="38">
        <f t="shared" ref="J419:J437" si="171">+H419*I419</f>
        <v>0</v>
      </c>
    </row>
    <row r="420" spans="1:13" ht="24" customHeight="1">
      <c r="A420" s="37">
        <v>670133</v>
      </c>
      <c r="B420" s="9" t="s">
        <v>225</v>
      </c>
      <c r="C420" s="5">
        <v>4.37</v>
      </c>
      <c r="D420" s="5"/>
      <c r="E420" s="5"/>
      <c r="F420" s="21">
        <v>4.7300000000000004</v>
      </c>
      <c r="G420" s="5">
        <v>3</v>
      </c>
      <c r="H420" s="24">
        <f t="shared" ref="H420" si="172">F420*0.97</f>
        <v>4.5880999999999998</v>
      </c>
      <c r="I420" s="27"/>
      <c r="J420" s="40">
        <f t="shared" ref="J420" si="173">+H420*I420</f>
        <v>0</v>
      </c>
    </row>
    <row r="421" spans="1:13" ht="24" customHeight="1">
      <c r="A421" s="37">
        <v>694943</v>
      </c>
      <c r="B421" s="9" t="s">
        <v>274</v>
      </c>
      <c r="C421" s="5">
        <v>3.5</v>
      </c>
      <c r="D421" s="5"/>
      <c r="E421" s="5"/>
      <c r="F421" s="21">
        <v>3.79</v>
      </c>
      <c r="G421" s="5">
        <v>3</v>
      </c>
      <c r="H421" s="24">
        <f t="shared" ref="H421" si="174">F421*0.97</f>
        <v>3.6762999999999999</v>
      </c>
      <c r="I421" s="27"/>
      <c r="J421" s="40">
        <f t="shared" ref="J421" si="175">+H421*I421</f>
        <v>0</v>
      </c>
    </row>
    <row r="422" spans="1:13" ht="24" customHeight="1">
      <c r="A422" s="37">
        <v>723501</v>
      </c>
      <c r="B422" s="9" t="s">
        <v>789</v>
      </c>
      <c r="C422" s="5">
        <v>16</v>
      </c>
      <c r="D422" s="5"/>
      <c r="E422" s="5"/>
      <c r="F422" s="21">
        <v>17.32</v>
      </c>
      <c r="G422" s="5">
        <v>3</v>
      </c>
      <c r="H422" s="24">
        <f t="shared" ref="H422:H423" si="176">F422*0.97</f>
        <v>16.8004</v>
      </c>
      <c r="I422" s="27"/>
      <c r="J422" s="40">
        <f t="shared" ref="J422:J423" si="177">+H422*I422</f>
        <v>0</v>
      </c>
    </row>
    <row r="423" spans="1:13" ht="24" customHeight="1">
      <c r="A423" s="37">
        <v>992859</v>
      </c>
      <c r="B423" s="9" t="s">
        <v>788</v>
      </c>
      <c r="C423" s="5">
        <v>4.9400000000000004</v>
      </c>
      <c r="D423" s="5"/>
      <c r="E423" s="5"/>
      <c r="F423" s="21">
        <v>5.35</v>
      </c>
      <c r="G423" s="5">
        <v>3</v>
      </c>
      <c r="H423" s="24">
        <f t="shared" si="176"/>
        <v>5.1894999999999998</v>
      </c>
      <c r="I423" s="27"/>
      <c r="J423" s="40">
        <f t="shared" si="177"/>
        <v>0</v>
      </c>
    </row>
    <row r="424" spans="1:13" ht="24" customHeight="1">
      <c r="A424" s="37">
        <v>992834</v>
      </c>
      <c r="B424" s="9" t="s">
        <v>780</v>
      </c>
      <c r="C424" s="5">
        <v>9.8800000000000008</v>
      </c>
      <c r="D424" s="5"/>
      <c r="E424" s="5"/>
      <c r="F424" s="21">
        <v>10.69</v>
      </c>
      <c r="G424" s="5">
        <v>3</v>
      </c>
      <c r="H424" s="24">
        <f t="shared" ref="H424:H426" si="178">F424*0.97</f>
        <v>10.369299999999999</v>
      </c>
      <c r="I424" s="27"/>
      <c r="J424" s="40">
        <f t="shared" ref="J424:J426" si="179">+H424*I424</f>
        <v>0</v>
      </c>
    </row>
    <row r="425" spans="1:13" ht="24" customHeight="1">
      <c r="A425" s="37">
        <v>656389</v>
      </c>
      <c r="B425" s="9" t="s">
        <v>810</v>
      </c>
      <c r="C425" s="5">
        <v>14.82</v>
      </c>
      <c r="D425" s="5"/>
      <c r="E425" s="5"/>
      <c r="F425" s="21">
        <v>16.04</v>
      </c>
      <c r="G425" s="5">
        <v>3</v>
      </c>
      <c r="H425" s="24">
        <f t="shared" si="178"/>
        <v>15.558799999999998</v>
      </c>
      <c r="I425" s="27"/>
      <c r="J425" s="40">
        <f t="shared" si="179"/>
        <v>0</v>
      </c>
    </row>
    <row r="426" spans="1:13" ht="24" customHeight="1">
      <c r="A426" s="37">
        <v>661615</v>
      </c>
      <c r="B426" s="9" t="s">
        <v>781</v>
      </c>
      <c r="C426" s="5">
        <v>13.44</v>
      </c>
      <c r="D426" s="5"/>
      <c r="E426" s="5"/>
      <c r="F426" s="21">
        <v>14.54</v>
      </c>
      <c r="G426" s="5">
        <v>3</v>
      </c>
      <c r="H426" s="24">
        <f t="shared" si="178"/>
        <v>14.1038</v>
      </c>
      <c r="I426" s="27"/>
      <c r="J426" s="40">
        <f t="shared" si="179"/>
        <v>0</v>
      </c>
    </row>
    <row r="427" spans="1:13" ht="24" customHeight="1">
      <c r="A427" s="37">
        <v>715411</v>
      </c>
      <c r="B427" s="9" t="s">
        <v>782</v>
      </c>
      <c r="C427" s="13">
        <v>19.8</v>
      </c>
      <c r="D427" s="5"/>
      <c r="E427" s="5">
        <f>+C427</f>
        <v>19.8</v>
      </c>
      <c r="F427" s="5"/>
      <c r="G427" s="5"/>
      <c r="H427" s="24"/>
      <c r="I427" s="27"/>
      <c r="J427" s="40">
        <f>+I427*E427</f>
        <v>0</v>
      </c>
    </row>
    <row r="428" spans="1:13" ht="24" customHeight="1">
      <c r="A428" s="37">
        <v>715573</v>
      </c>
      <c r="B428" s="9" t="s">
        <v>479</v>
      </c>
      <c r="C428" s="13">
        <v>5.22</v>
      </c>
      <c r="D428" s="5">
        <v>5</v>
      </c>
      <c r="E428" s="5">
        <f>+C428*0.95</f>
        <v>4.9589999999999996</v>
      </c>
      <c r="F428" s="5"/>
      <c r="G428" s="5"/>
      <c r="H428" s="24"/>
      <c r="I428" s="27"/>
      <c r="J428" s="40">
        <f>+I428*E428</f>
        <v>0</v>
      </c>
    </row>
    <row r="429" spans="1:13" ht="24" customHeight="1">
      <c r="A429" s="37">
        <v>715540</v>
      </c>
      <c r="B429" s="9" t="s">
        <v>480</v>
      </c>
      <c r="C429" s="13">
        <v>10.44</v>
      </c>
      <c r="D429" s="5">
        <v>5</v>
      </c>
      <c r="E429" s="5">
        <f t="shared" ref="E429:E436" si="180">+C429*0.95</f>
        <v>9.9179999999999993</v>
      </c>
      <c r="F429" s="5"/>
      <c r="G429" s="5"/>
      <c r="H429" s="24"/>
      <c r="I429" s="27"/>
      <c r="J429" s="40">
        <f t="shared" ref="J429:J436" si="181">+I429*E429</f>
        <v>0</v>
      </c>
    </row>
    <row r="430" spans="1:13" ht="24" customHeight="1">
      <c r="A430" s="37">
        <v>660338</v>
      </c>
      <c r="B430" s="9" t="s">
        <v>485</v>
      </c>
      <c r="C430" s="13">
        <v>20.88</v>
      </c>
      <c r="D430" s="5">
        <v>5</v>
      </c>
      <c r="E430" s="5">
        <f t="shared" si="180"/>
        <v>19.835999999999999</v>
      </c>
      <c r="F430" s="5"/>
      <c r="G430" s="5"/>
      <c r="H430" s="24"/>
      <c r="I430" s="27"/>
      <c r="J430" s="40">
        <f t="shared" si="181"/>
        <v>0</v>
      </c>
    </row>
    <row r="431" spans="1:13" ht="24" customHeight="1">
      <c r="A431" s="37">
        <v>773671</v>
      </c>
      <c r="B431" s="9" t="s">
        <v>478</v>
      </c>
      <c r="C431" s="13">
        <v>3.84</v>
      </c>
      <c r="D431" s="5">
        <v>5</v>
      </c>
      <c r="E431" s="5">
        <f t="shared" si="180"/>
        <v>3.6479999999999997</v>
      </c>
      <c r="F431" s="5"/>
      <c r="G431" s="5"/>
      <c r="H431" s="24"/>
      <c r="I431" s="27"/>
      <c r="J431" s="40">
        <f t="shared" si="181"/>
        <v>0</v>
      </c>
      <c r="M431" s="11"/>
    </row>
    <row r="432" spans="1:13" ht="24" customHeight="1">
      <c r="A432" s="37">
        <v>813022</v>
      </c>
      <c r="B432" s="9" t="s">
        <v>481</v>
      </c>
      <c r="C432" s="13">
        <v>7.68</v>
      </c>
      <c r="D432" s="5">
        <v>5</v>
      </c>
      <c r="E432" s="5">
        <f t="shared" si="180"/>
        <v>7.2959999999999994</v>
      </c>
      <c r="F432" s="5"/>
      <c r="G432" s="5"/>
      <c r="H432" s="24"/>
      <c r="I432" s="27"/>
      <c r="J432" s="40">
        <f t="shared" si="181"/>
        <v>0</v>
      </c>
    </row>
    <row r="433" spans="1:10" ht="24" customHeight="1">
      <c r="A433" s="37">
        <v>651207</v>
      </c>
      <c r="B433" s="9" t="s">
        <v>482</v>
      </c>
      <c r="C433" s="13">
        <v>7.68</v>
      </c>
      <c r="D433" s="5">
        <v>5</v>
      </c>
      <c r="E433" s="5">
        <f t="shared" si="180"/>
        <v>7.2959999999999994</v>
      </c>
      <c r="F433" s="5"/>
      <c r="G433" s="5"/>
      <c r="H433" s="24"/>
      <c r="I433" s="27"/>
      <c r="J433" s="40">
        <f t="shared" si="181"/>
        <v>0</v>
      </c>
    </row>
    <row r="434" spans="1:10" ht="24" customHeight="1">
      <c r="A434" s="37">
        <v>661471</v>
      </c>
      <c r="B434" s="9" t="s">
        <v>483</v>
      </c>
      <c r="C434" s="13">
        <v>15.35</v>
      </c>
      <c r="D434" s="5">
        <v>5</v>
      </c>
      <c r="E434" s="5">
        <f t="shared" si="180"/>
        <v>14.5825</v>
      </c>
      <c r="F434" s="5"/>
      <c r="G434" s="5"/>
      <c r="H434" s="24"/>
      <c r="I434" s="27"/>
      <c r="J434" s="40">
        <f t="shared" si="181"/>
        <v>0</v>
      </c>
    </row>
    <row r="435" spans="1:10" ht="24" customHeight="1">
      <c r="A435" s="37">
        <v>661473</v>
      </c>
      <c r="B435" s="9" t="s">
        <v>484</v>
      </c>
      <c r="C435" s="13">
        <v>15.35</v>
      </c>
      <c r="D435" s="5">
        <v>5</v>
      </c>
      <c r="E435" s="5">
        <f t="shared" si="180"/>
        <v>14.5825</v>
      </c>
      <c r="F435" s="5"/>
      <c r="G435" s="5"/>
      <c r="H435" s="24"/>
      <c r="I435" s="27"/>
      <c r="J435" s="40">
        <f t="shared" si="181"/>
        <v>0</v>
      </c>
    </row>
    <row r="436" spans="1:10" ht="24" customHeight="1">
      <c r="A436" s="37">
        <v>971663</v>
      </c>
      <c r="B436" s="9" t="s">
        <v>477</v>
      </c>
      <c r="C436" s="13">
        <v>3.78</v>
      </c>
      <c r="D436" s="5">
        <v>5</v>
      </c>
      <c r="E436" s="5">
        <f t="shared" si="180"/>
        <v>3.5909999999999997</v>
      </c>
      <c r="F436" s="5"/>
      <c r="G436" s="5"/>
      <c r="H436" s="24"/>
      <c r="I436" s="27"/>
      <c r="J436" s="40">
        <f t="shared" si="181"/>
        <v>0</v>
      </c>
    </row>
    <row r="437" spans="1:10" ht="24" customHeight="1">
      <c r="A437" s="37">
        <v>689957</v>
      </c>
      <c r="B437" s="4" t="s">
        <v>181</v>
      </c>
      <c r="C437" s="5">
        <v>8.31</v>
      </c>
      <c r="D437" s="5"/>
      <c r="E437" s="5"/>
      <c r="F437" s="21">
        <v>8.99</v>
      </c>
      <c r="G437" s="5">
        <v>3</v>
      </c>
      <c r="H437" s="24">
        <f t="shared" si="170"/>
        <v>8.7202999999999999</v>
      </c>
      <c r="I437" s="27"/>
      <c r="J437" s="40">
        <f t="shared" si="171"/>
        <v>0</v>
      </c>
    </row>
    <row r="438" spans="1:10" ht="24" customHeight="1">
      <c r="A438" s="37">
        <v>715341</v>
      </c>
      <c r="B438" s="4" t="s">
        <v>698</v>
      </c>
      <c r="C438" s="5">
        <v>5.08</v>
      </c>
      <c r="D438" s="5"/>
      <c r="E438" s="5"/>
      <c r="F438" s="21">
        <v>5.5</v>
      </c>
      <c r="G438" s="5">
        <v>3</v>
      </c>
      <c r="H438" s="24">
        <f t="shared" ref="H438" si="182">F438*0.97</f>
        <v>5.335</v>
      </c>
      <c r="I438" s="27"/>
      <c r="J438" s="40">
        <f t="shared" ref="J438" si="183">+H438*I438</f>
        <v>0</v>
      </c>
    </row>
    <row r="439" spans="1:10" ht="24" customHeight="1">
      <c r="A439" s="37">
        <v>696971</v>
      </c>
      <c r="B439" s="9" t="s">
        <v>491</v>
      </c>
      <c r="C439" s="13">
        <v>4.3</v>
      </c>
      <c r="D439" s="5">
        <v>4</v>
      </c>
      <c r="E439" s="5">
        <f>+C439*0.96</f>
        <v>4.1280000000000001</v>
      </c>
      <c r="F439" s="5"/>
      <c r="G439" s="5"/>
      <c r="H439" s="24"/>
      <c r="I439" s="27"/>
      <c r="J439" s="40">
        <f t="shared" ref="J439" si="184">+I439*E439</f>
        <v>0</v>
      </c>
    </row>
    <row r="440" spans="1:10" ht="24" customHeight="1">
      <c r="A440" s="340" t="s">
        <v>24</v>
      </c>
      <c r="B440" s="341"/>
      <c r="C440" s="341"/>
      <c r="D440" s="341"/>
      <c r="E440" s="341"/>
      <c r="F440" s="341"/>
      <c r="G440" s="341"/>
      <c r="H440" s="341"/>
      <c r="I440" s="29"/>
      <c r="J440" s="41"/>
    </row>
    <row r="441" spans="1:10" ht="24" customHeight="1">
      <c r="A441" s="37">
        <v>714014</v>
      </c>
      <c r="B441" s="8" t="s">
        <v>28</v>
      </c>
      <c r="C441" s="5">
        <v>1.9</v>
      </c>
      <c r="D441" s="5"/>
      <c r="E441" s="5"/>
      <c r="F441" s="21">
        <v>2.0499999999999998</v>
      </c>
      <c r="G441" s="5">
        <v>3</v>
      </c>
      <c r="H441" s="24">
        <f t="shared" ref="H441:H454" si="185">F441*0.97</f>
        <v>1.9884999999999997</v>
      </c>
      <c r="I441" s="27"/>
      <c r="J441" s="40">
        <f t="shared" ref="J441:J456" si="186">I441*H441</f>
        <v>0</v>
      </c>
    </row>
    <row r="442" spans="1:10" ht="24" customHeight="1">
      <c r="A442" s="37">
        <v>662457</v>
      </c>
      <c r="B442" s="8" t="s">
        <v>29</v>
      </c>
      <c r="C442" s="5">
        <v>1.9</v>
      </c>
      <c r="D442" s="5"/>
      <c r="E442" s="5"/>
      <c r="F442" s="21">
        <v>2.0499999999999998</v>
      </c>
      <c r="G442" s="5">
        <v>3</v>
      </c>
      <c r="H442" s="24">
        <f t="shared" si="185"/>
        <v>1.9884999999999997</v>
      </c>
      <c r="I442" s="27"/>
      <c r="J442" s="40">
        <f t="shared" si="186"/>
        <v>0</v>
      </c>
    </row>
    <row r="443" spans="1:10" ht="24" customHeight="1">
      <c r="A443" s="37">
        <v>714048</v>
      </c>
      <c r="B443" s="8" t="s">
        <v>35</v>
      </c>
      <c r="C443" s="5">
        <v>5.69</v>
      </c>
      <c r="D443" s="5"/>
      <c r="E443" s="5"/>
      <c r="F443" s="21">
        <v>6.16</v>
      </c>
      <c r="G443" s="5">
        <v>3</v>
      </c>
      <c r="H443" s="24">
        <f t="shared" si="185"/>
        <v>5.9752000000000001</v>
      </c>
      <c r="I443" s="27"/>
      <c r="J443" s="40">
        <f t="shared" si="186"/>
        <v>0</v>
      </c>
    </row>
    <row r="444" spans="1:10" ht="24" hidden="1" customHeight="1">
      <c r="A444" s="37">
        <v>652008</v>
      </c>
      <c r="B444" s="8" t="s">
        <v>851</v>
      </c>
      <c r="C444" s="5">
        <v>3.98</v>
      </c>
      <c r="D444" s="5"/>
      <c r="E444" s="5"/>
      <c r="F444" s="21">
        <v>4.3</v>
      </c>
      <c r="G444" s="5">
        <v>4</v>
      </c>
      <c r="H444" s="24">
        <f>F444*0.96</f>
        <v>4.1280000000000001</v>
      </c>
      <c r="I444" s="27"/>
      <c r="J444" s="40">
        <f t="shared" si="186"/>
        <v>0</v>
      </c>
    </row>
    <row r="445" spans="1:10" ht="24" customHeight="1">
      <c r="A445" s="37">
        <v>665364</v>
      </c>
      <c r="B445" s="8" t="s">
        <v>852</v>
      </c>
      <c r="C445" s="5">
        <v>6.11</v>
      </c>
      <c r="D445" s="5"/>
      <c r="E445" s="5"/>
      <c r="F445" s="21">
        <v>6.61</v>
      </c>
      <c r="G445" s="5">
        <v>4</v>
      </c>
      <c r="H445" s="24">
        <f t="shared" ref="H445:H446" si="187">F445*0.96</f>
        <v>6.3456000000000001</v>
      </c>
      <c r="I445" s="27"/>
      <c r="J445" s="40">
        <f t="shared" si="186"/>
        <v>0</v>
      </c>
    </row>
    <row r="446" spans="1:10" ht="24" customHeight="1">
      <c r="A446" s="37">
        <v>797092</v>
      </c>
      <c r="B446" s="8" t="s">
        <v>853</v>
      </c>
      <c r="C446" s="5">
        <v>7.9</v>
      </c>
      <c r="D446" s="5"/>
      <c r="E446" s="5"/>
      <c r="F446" s="21">
        <v>8.6</v>
      </c>
      <c r="G446" s="5">
        <v>4</v>
      </c>
      <c r="H446" s="24">
        <f t="shared" si="187"/>
        <v>8.2560000000000002</v>
      </c>
      <c r="I446" s="27"/>
      <c r="J446" s="40">
        <f t="shared" si="186"/>
        <v>0</v>
      </c>
    </row>
    <row r="447" spans="1:10" ht="24" customHeight="1">
      <c r="A447" s="37">
        <v>935353</v>
      </c>
      <c r="B447" s="8" t="s">
        <v>540</v>
      </c>
      <c r="C447" s="5">
        <v>16.079999999999998</v>
      </c>
      <c r="D447" s="5"/>
      <c r="E447" s="5"/>
      <c r="F447" s="21">
        <v>17.399999999999999</v>
      </c>
      <c r="G447" s="5">
        <v>3</v>
      </c>
      <c r="H447" s="24">
        <f t="shared" ref="H447:H448" si="188">F447*0.97</f>
        <v>16.877999999999997</v>
      </c>
      <c r="I447" s="27"/>
      <c r="J447" s="40">
        <f t="shared" ref="J447:J448" si="189">I447*H447</f>
        <v>0</v>
      </c>
    </row>
    <row r="448" spans="1:10" ht="24" customHeight="1">
      <c r="A448" s="37">
        <v>935270</v>
      </c>
      <c r="B448" s="8" t="s">
        <v>541</v>
      </c>
      <c r="C448" s="5">
        <v>8.0399999999999991</v>
      </c>
      <c r="D448" s="5"/>
      <c r="E448" s="5"/>
      <c r="F448" s="21">
        <v>8.6999999999999993</v>
      </c>
      <c r="G448" s="5">
        <v>3</v>
      </c>
      <c r="H448" s="24">
        <f t="shared" si="188"/>
        <v>8.4389999999999983</v>
      </c>
      <c r="I448" s="27"/>
      <c r="J448" s="40">
        <f t="shared" si="189"/>
        <v>0</v>
      </c>
    </row>
    <row r="449" spans="1:10" ht="24" customHeight="1">
      <c r="A449" s="37">
        <v>853218</v>
      </c>
      <c r="B449" s="8" t="s">
        <v>551</v>
      </c>
      <c r="C449" s="5">
        <v>16.079999999999998</v>
      </c>
      <c r="D449" s="5"/>
      <c r="E449" s="5"/>
      <c r="F449" s="21">
        <v>17.399999999999999</v>
      </c>
      <c r="G449" s="5">
        <v>3</v>
      </c>
      <c r="H449" s="24">
        <f t="shared" ref="H449:H450" si="190">F449*0.97</f>
        <v>16.877999999999997</v>
      </c>
      <c r="I449" s="27"/>
      <c r="J449" s="40">
        <f t="shared" ref="J449:J450" si="191">I449*H449</f>
        <v>0</v>
      </c>
    </row>
    <row r="450" spans="1:10" ht="24" customHeight="1">
      <c r="A450" s="37">
        <v>852665</v>
      </c>
      <c r="B450" s="8" t="s">
        <v>552</v>
      </c>
      <c r="C450" s="5">
        <v>8.0399999999999991</v>
      </c>
      <c r="D450" s="5"/>
      <c r="E450" s="5"/>
      <c r="F450" s="21">
        <v>8.6999999999999993</v>
      </c>
      <c r="G450" s="5">
        <v>3</v>
      </c>
      <c r="H450" s="24">
        <f t="shared" si="190"/>
        <v>8.4389999999999983</v>
      </c>
      <c r="I450" s="27"/>
      <c r="J450" s="40">
        <f t="shared" si="191"/>
        <v>0</v>
      </c>
    </row>
    <row r="451" spans="1:10" ht="24" customHeight="1">
      <c r="A451" s="37">
        <v>700727</v>
      </c>
      <c r="B451" s="8" t="s">
        <v>30</v>
      </c>
      <c r="C451" s="5">
        <v>49.93</v>
      </c>
      <c r="D451" s="5"/>
      <c r="E451" s="5"/>
      <c r="F451" s="21">
        <v>54.04</v>
      </c>
      <c r="G451" s="5">
        <v>3</v>
      </c>
      <c r="H451" s="24">
        <f t="shared" si="185"/>
        <v>52.418799999999997</v>
      </c>
      <c r="I451" s="27"/>
      <c r="J451" s="40">
        <f t="shared" si="186"/>
        <v>0</v>
      </c>
    </row>
    <row r="452" spans="1:10" ht="24" customHeight="1">
      <c r="A452" s="37">
        <v>700726</v>
      </c>
      <c r="B452" s="8" t="s">
        <v>31</v>
      </c>
      <c r="C452" s="5">
        <v>74.89</v>
      </c>
      <c r="D452" s="5"/>
      <c r="E452" s="5"/>
      <c r="F452" s="21">
        <v>81.05</v>
      </c>
      <c r="G452" s="5">
        <v>3</v>
      </c>
      <c r="H452" s="24">
        <f t="shared" si="185"/>
        <v>78.618499999999997</v>
      </c>
      <c r="I452" s="27"/>
      <c r="J452" s="40">
        <f t="shared" si="186"/>
        <v>0</v>
      </c>
    </row>
    <row r="453" spans="1:10" ht="24" customHeight="1">
      <c r="A453" s="37">
        <v>676735</v>
      </c>
      <c r="B453" s="8" t="s">
        <v>643</v>
      </c>
      <c r="C453" s="5">
        <v>16.420000000000002</v>
      </c>
      <c r="D453" s="5"/>
      <c r="E453" s="5"/>
      <c r="F453" s="21">
        <v>17.77</v>
      </c>
      <c r="G453" s="5">
        <v>3</v>
      </c>
      <c r="H453" s="24">
        <f t="shared" si="185"/>
        <v>17.236899999999999</v>
      </c>
      <c r="I453" s="27"/>
      <c r="J453" s="40">
        <f t="shared" si="186"/>
        <v>0</v>
      </c>
    </row>
    <row r="454" spans="1:10" ht="24" customHeight="1">
      <c r="A454" s="37">
        <v>651443</v>
      </c>
      <c r="B454" s="8" t="s">
        <v>136</v>
      </c>
      <c r="C454" s="5">
        <v>1.9</v>
      </c>
      <c r="D454" s="5"/>
      <c r="E454" s="5"/>
      <c r="F454" s="21">
        <v>2.0499999999999998</v>
      </c>
      <c r="G454" s="5">
        <v>3</v>
      </c>
      <c r="H454" s="24">
        <f t="shared" si="185"/>
        <v>1.9884999999999997</v>
      </c>
      <c r="I454" s="27"/>
      <c r="J454" s="40">
        <f t="shared" si="186"/>
        <v>0</v>
      </c>
    </row>
    <row r="455" spans="1:10" ht="24" customHeight="1">
      <c r="A455" s="37"/>
      <c r="B455" s="8" t="s">
        <v>182</v>
      </c>
      <c r="C455" s="5">
        <v>1.9</v>
      </c>
      <c r="D455" s="5"/>
      <c r="E455" s="5"/>
      <c r="F455" s="21">
        <v>2.0499999999999998</v>
      </c>
      <c r="G455" s="5">
        <v>4</v>
      </c>
      <c r="H455" s="24">
        <f>F455*0.96</f>
        <v>1.9679999999999997</v>
      </c>
      <c r="I455" s="27"/>
      <c r="J455" s="40">
        <f t="shared" si="186"/>
        <v>0</v>
      </c>
    </row>
    <row r="456" spans="1:10" ht="24" customHeight="1">
      <c r="A456" s="37">
        <v>651444</v>
      </c>
      <c r="B456" s="8" t="s">
        <v>213</v>
      </c>
      <c r="C456" s="5">
        <v>5.69</v>
      </c>
      <c r="D456" s="5"/>
      <c r="E456" s="5"/>
      <c r="F456" s="21">
        <v>6.16</v>
      </c>
      <c r="G456" s="5">
        <v>3</v>
      </c>
      <c r="H456" s="24">
        <f>F456*0.97</f>
        <v>5.9752000000000001</v>
      </c>
      <c r="I456" s="27"/>
      <c r="J456" s="40">
        <f t="shared" si="186"/>
        <v>0</v>
      </c>
    </row>
    <row r="457" spans="1:10" ht="24" customHeight="1">
      <c r="A457" s="37">
        <v>718486</v>
      </c>
      <c r="B457" s="8" t="s">
        <v>304</v>
      </c>
      <c r="C457" s="5">
        <v>5.69</v>
      </c>
      <c r="D457" s="5"/>
      <c r="E457" s="5"/>
      <c r="F457" s="21">
        <v>6.16</v>
      </c>
      <c r="G457" s="5">
        <v>3</v>
      </c>
      <c r="H457" s="24">
        <f t="shared" ref="H457:H462" si="192">F457*0.97</f>
        <v>5.9752000000000001</v>
      </c>
      <c r="I457" s="27"/>
      <c r="J457" s="40">
        <f t="shared" ref="J457:J462" si="193">I457*H457</f>
        <v>0</v>
      </c>
    </row>
    <row r="458" spans="1:10" ht="24" customHeight="1">
      <c r="A458" s="37">
        <v>700655</v>
      </c>
      <c r="B458" s="8" t="s">
        <v>828</v>
      </c>
      <c r="C458" s="5">
        <v>205.67</v>
      </c>
      <c r="D458" s="5"/>
      <c r="E458" s="5"/>
      <c r="F458" s="21">
        <v>213.21</v>
      </c>
      <c r="G458" s="5">
        <v>2</v>
      </c>
      <c r="H458" s="24">
        <f>F458*0.98</f>
        <v>208.94579999999999</v>
      </c>
      <c r="I458" s="27"/>
      <c r="J458" s="40">
        <f t="shared" ref="J458" si="194">I458*H458</f>
        <v>0</v>
      </c>
    </row>
    <row r="459" spans="1:10" ht="24" customHeight="1">
      <c r="A459" s="37">
        <v>664862</v>
      </c>
      <c r="B459" s="8" t="s">
        <v>305</v>
      </c>
      <c r="C459" s="5">
        <v>10.3</v>
      </c>
      <c r="D459" s="5"/>
      <c r="E459" s="5"/>
      <c r="F459" s="21">
        <v>11.15</v>
      </c>
      <c r="G459" s="5">
        <v>3</v>
      </c>
      <c r="H459" s="24">
        <f t="shared" si="192"/>
        <v>10.8155</v>
      </c>
      <c r="I459" s="27"/>
      <c r="J459" s="40">
        <f t="shared" si="193"/>
        <v>0</v>
      </c>
    </row>
    <row r="460" spans="1:10" ht="24" customHeight="1">
      <c r="A460" s="37">
        <v>852988</v>
      </c>
      <c r="B460" s="8" t="s">
        <v>306</v>
      </c>
      <c r="C460" s="5">
        <v>10.3</v>
      </c>
      <c r="D460" s="5"/>
      <c r="E460" s="5"/>
      <c r="F460" s="21">
        <v>11.15</v>
      </c>
      <c r="G460" s="5">
        <v>3</v>
      </c>
      <c r="H460" s="24">
        <f t="shared" si="192"/>
        <v>10.8155</v>
      </c>
      <c r="I460" s="27"/>
      <c r="J460" s="40">
        <f t="shared" si="193"/>
        <v>0</v>
      </c>
    </row>
    <row r="461" spans="1:10" ht="24" customHeight="1">
      <c r="A461" s="37">
        <v>780650</v>
      </c>
      <c r="B461" s="8" t="s">
        <v>307</v>
      </c>
      <c r="C461" s="5">
        <v>20.6</v>
      </c>
      <c r="D461" s="5"/>
      <c r="E461" s="5"/>
      <c r="F461" s="21">
        <v>22.29</v>
      </c>
      <c r="G461" s="5">
        <v>3</v>
      </c>
      <c r="H461" s="24">
        <f t="shared" si="192"/>
        <v>21.621299999999998</v>
      </c>
      <c r="I461" s="27"/>
      <c r="J461" s="40">
        <f t="shared" si="193"/>
        <v>0</v>
      </c>
    </row>
    <row r="462" spans="1:10" ht="24" customHeight="1">
      <c r="A462" s="37">
        <v>715128</v>
      </c>
      <c r="B462" s="8" t="s">
        <v>308</v>
      </c>
      <c r="C462" s="5">
        <v>13.71</v>
      </c>
      <c r="D462" s="5"/>
      <c r="E462" s="5"/>
      <c r="F462" s="21">
        <v>14.84</v>
      </c>
      <c r="G462" s="5">
        <v>3</v>
      </c>
      <c r="H462" s="24">
        <f t="shared" si="192"/>
        <v>14.3948</v>
      </c>
      <c r="I462" s="27"/>
      <c r="J462" s="40">
        <f t="shared" si="193"/>
        <v>0</v>
      </c>
    </row>
    <row r="463" spans="1:10" ht="24" customHeight="1">
      <c r="A463" s="337" t="s">
        <v>25</v>
      </c>
      <c r="B463" s="338"/>
      <c r="C463" s="338"/>
      <c r="D463" s="338"/>
      <c r="E463" s="338"/>
      <c r="F463" s="338"/>
      <c r="G463" s="338"/>
      <c r="H463" s="339"/>
      <c r="I463" s="27"/>
      <c r="J463" s="36"/>
    </row>
    <row r="464" spans="1:10" ht="24" customHeight="1">
      <c r="A464" s="37">
        <v>815217</v>
      </c>
      <c r="B464" s="9" t="s">
        <v>68</v>
      </c>
      <c r="C464" s="5">
        <v>9.93</v>
      </c>
      <c r="D464" s="5"/>
      <c r="E464" s="5"/>
      <c r="F464" s="21">
        <v>10.75</v>
      </c>
      <c r="G464" s="5">
        <v>3.5</v>
      </c>
      <c r="H464" s="24">
        <f>F464*0.965</f>
        <v>10.373749999999999</v>
      </c>
      <c r="I464" s="27"/>
      <c r="J464" s="38">
        <f>+I464*H464</f>
        <v>0</v>
      </c>
    </row>
    <row r="465" spans="1:10" ht="24" customHeight="1">
      <c r="A465" s="37">
        <v>702350</v>
      </c>
      <c r="B465" s="9" t="s">
        <v>69</v>
      </c>
      <c r="C465" s="5">
        <v>2.0299999999999998</v>
      </c>
      <c r="D465" s="5"/>
      <c r="E465" s="5"/>
      <c r="F465" s="21">
        <v>2.2000000000000002</v>
      </c>
      <c r="G465" s="5">
        <v>3.5</v>
      </c>
      <c r="H465" s="24">
        <f t="shared" ref="H465:H466" si="195">F465*0.965</f>
        <v>2.1230000000000002</v>
      </c>
      <c r="I465" s="27"/>
      <c r="J465" s="40">
        <f t="shared" ref="J465:J466" si="196">+I465*H465</f>
        <v>0</v>
      </c>
    </row>
    <row r="466" spans="1:10" ht="24" customHeight="1">
      <c r="A466" s="37">
        <v>702351</v>
      </c>
      <c r="B466" s="9" t="s">
        <v>70</v>
      </c>
      <c r="C466" s="5">
        <v>4.05</v>
      </c>
      <c r="D466" s="5"/>
      <c r="E466" s="5"/>
      <c r="F466" s="21">
        <v>4.38</v>
      </c>
      <c r="G466" s="5">
        <v>3.5</v>
      </c>
      <c r="H466" s="24">
        <f t="shared" si="195"/>
        <v>4.2267000000000001</v>
      </c>
      <c r="I466" s="27"/>
      <c r="J466" s="40">
        <f t="shared" si="196"/>
        <v>0</v>
      </c>
    </row>
    <row r="467" spans="1:10" ht="24" customHeight="1">
      <c r="A467" s="37">
        <v>171363</v>
      </c>
      <c r="B467" s="9" t="s">
        <v>790</v>
      </c>
      <c r="C467" s="13">
        <v>8.6999999999999993</v>
      </c>
      <c r="D467" s="5"/>
      <c r="E467" s="5">
        <f>+C467</f>
        <v>8.6999999999999993</v>
      </c>
      <c r="F467" s="5"/>
      <c r="G467" s="5">
        <v>3.5</v>
      </c>
      <c r="H467" s="24">
        <f t="shared" ref="H467:H470" si="197">F467*0.965</f>
        <v>0</v>
      </c>
      <c r="I467" s="27"/>
      <c r="J467" s="40">
        <f>+I467*E467</f>
        <v>0</v>
      </c>
    </row>
    <row r="468" spans="1:10" ht="24" customHeight="1">
      <c r="A468" s="37">
        <v>716976</v>
      </c>
      <c r="B468" s="9" t="s">
        <v>859</v>
      </c>
      <c r="C468" s="5">
        <v>41.8</v>
      </c>
      <c r="D468" s="5"/>
      <c r="E468" s="5"/>
      <c r="F468" s="21">
        <v>45.24</v>
      </c>
      <c r="G468" s="5">
        <v>3.5</v>
      </c>
      <c r="H468" s="24">
        <f t="shared" si="197"/>
        <v>43.656599999999997</v>
      </c>
      <c r="I468" s="27"/>
      <c r="J468" s="40">
        <f t="shared" ref="J468:J470" si="198">+I468*H468</f>
        <v>0</v>
      </c>
    </row>
    <row r="469" spans="1:10" ht="24" customHeight="1">
      <c r="A469" s="37">
        <v>716975</v>
      </c>
      <c r="B469" s="9" t="s">
        <v>860</v>
      </c>
      <c r="C469" s="5">
        <v>41.8</v>
      </c>
      <c r="D469" s="5"/>
      <c r="E469" s="5"/>
      <c r="F469" s="21">
        <v>45.24</v>
      </c>
      <c r="G469" s="5">
        <v>3.5</v>
      </c>
      <c r="H469" s="24">
        <f t="shared" si="197"/>
        <v>43.656599999999997</v>
      </c>
      <c r="I469" s="27"/>
      <c r="J469" s="40">
        <f t="shared" si="198"/>
        <v>0</v>
      </c>
    </row>
    <row r="470" spans="1:10" ht="24" customHeight="1">
      <c r="A470" s="37">
        <v>716974</v>
      </c>
      <c r="B470" s="9" t="s">
        <v>861</v>
      </c>
      <c r="C470" s="5">
        <v>41.8</v>
      </c>
      <c r="D470" s="5"/>
      <c r="E470" s="5"/>
      <c r="F470" s="21">
        <v>45.24</v>
      </c>
      <c r="G470" s="5">
        <v>3.5</v>
      </c>
      <c r="H470" s="24">
        <f t="shared" si="197"/>
        <v>43.656599999999997</v>
      </c>
      <c r="I470" s="27"/>
      <c r="J470" s="40">
        <f t="shared" si="198"/>
        <v>0</v>
      </c>
    </row>
    <row r="471" spans="1:10" ht="24" customHeight="1">
      <c r="A471" s="37">
        <v>712520</v>
      </c>
      <c r="B471" s="9" t="s">
        <v>695</v>
      </c>
      <c r="C471" s="5">
        <v>10</v>
      </c>
      <c r="D471" s="5"/>
      <c r="E471" s="5"/>
      <c r="F471" s="21">
        <v>10.82</v>
      </c>
      <c r="G471" s="5">
        <v>3.5</v>
      </c>
      <c r="H471" s="24">
        <f t="shared" ref="H471:H472" si="199">F471*0.965</f>
        <v>10.4413</v>
      </c>
      <c r="I471" s="27"/>
      <c r="J471" s="40">
        <f t="shared" ref="J471:J472" si="200">+I471*H471</f>
        <v>0</v>
      </c>
    </row>
    <row r="472" spans="1:10" ht="24" customHeight="1">
      <c r="A472" s="37">
        <v>712521</v>
      </c>
      <c r="B472" s="9" t="s">
        <v>696</v>
      </c>
      <c r="C472" s="5">
        <v>10</v>
      </c>
      <c r="D472" s="5"/>
      <c r="E472" s="5"/>
      <c r="F472" s="21">
        <v>10.82</v>
      </c>
      <c r="G472" s="5">
        <v>3.5</v>
      </c>
      <c r="H472" s="24">
        <f t="shared" si="199"/>
        <v>10.4413</v>
      </c>
      <c r="I472" s="27"/>
      <c r="J472" s="40">
        <f t="shared" si="200"/>
        <v>0</v>
      </c>
    </row>
    <row r="473" spans="1:10" ht="24" customHeight="1">
      <c r="A473" s="337" t="s">
        <v>492</v>
      </c>
      <c r="B473" s="338"/>
      <c r="C473" s="338"/>
      <c r="D473" s="338"/>
      <c r="E473" s="338"/>
      <c r="F473" s="338"/>
      <c r="G473" s="338"/>
      <c r="H473" s="339"/>
      <c r="I473" s="27"/>
      <c r="J473" s="36"/>
    </row>
    <row r="474" spans="1:10" ht="24" customHeight="1">
      <c r="A474" s="37">
        <v>840702</v>
      </c>
      <c r="B474" s="9" t="s">
        <v>493</v>
      </c>
      <c r="C474" s="5">
        <v>7.76</v>
      </c>
      <c r="D474" s="5"/>
      <c r="E474" s="5"/>
      <c r="F474" s="21">
        <v>8.4</v>
      </c>
      <c r="G474" s="5">
        <v>3.5</v>
      </c>
      <c r="H474" s="24">
        <f t="shared" ref="H474:H480" si="201">F474*0.965</f>
        <v>8.1059999999999999</v>
      </c>
      <c r="I474" s="27"/>
      <c r="J474" s="40">
        <f>+I474*H474</f>
        <v>0</v>
      </c>
    </row>
    <row r="475" spans="1:10" ht="24" customHeight="1">
      <c r="A475" s="37">
        <v>723444</v>
      </c>
      <c r="B475" s="9" t="s">
        <v>625</v>
      </c>
      <c r="C475" s="5">
        <v>15.52</v>
      </c>
      <c r="D475" s="5"/>
      <c r="E475" s="5"/>
      <c r="F475" s="21">
        <v>16.8</v>
      </c>
      <c r="G475" s="5">
        <v>3.5</v>
      </c>
      <c r="H475" s="24">
        <f t="shared" si="201"/>
        <v>16.212</v>
      </c>
      <c r="I475" s="27"/>
      <c r="J475" s="40">
        <f>+I475*H475</f>
        <v>0</v>
      </c>
    </row>
    <row r="476" spans="1:10" ht="24" customHeight="1">
      <c r="A476" s="37">
        <v>716318</v>
      </c>
      <c r="B476" s="9" t="s">
        <v>508</v>
      </c>
      <c r="C476" s="5">
        <v>7.76</v>
      </c>
      <c r="D476" s="5"/>
      <c r="E476" s="5"/>
      <c r="F476" s="21">
        <v>8.4</v>
      </c>
      <c r="G476" s="5">
        <v>3.5</v>
      </c>
      <c r="H476" s="24">
        <f t="shared" si="201"/>
        <v>8.1059999999999999</v>
      </c>
      <c r="I476" s="27"/>
      <c r="J476" s="40">
        <f t="shared" ref="J476" si="202">+I476*H476</f>
        <v>0</v>
      </c>
    </row>
    <row r="477" spans="1:10" ht="24" customHeight="1">
      <c r="A477" s="37">
        <v>686725</v>
      </c>
      <c r="B477" s="9" t="s">
        <v>494</v>
      </c>
      <c r="C477" s="5">
        <v>3.28</v>
      </c>
      <c r="D477" s="5"/>
      <c r="E477" s="5"/>
      <c r="F477" s="21">
        <v>3.55</v>
      </c>
      <c r="G477" s="5">
        <v>3.5</v>
      </c>
      <c r="H477" s="24">
        <f t="shared" si="201"/>
        <v>3.4257499999999999</v>
      </c>
      <c r="I477" s="27"/>
      <c r="J477" s="40">
        <f t="shared" ref="J477:J480" si="203">+I477*H477</f>
        <v>0</v>
      </c>
    </row>
    <row r="478" spans="1:10" ht="24" customHeight="1">
      <c r="A478" s="37">
        <v>724787</v>
      </c>
      <c r="B478" s="9" t="s">
        <v>495</v>
      </c>
      <c r="C478" s="5">
        <v>5.77</v>
      </c>
      <c r="D478" s="5"/>
      <c r="E478" s="5"/>
      <c r="F478" s="21">
        <v>6.24</v>
      </c>
      <c r="G478" s="5">
        <v>3.5</v>
      </c>
      <c r="H478" s="24">
        <f t="shared" si="201"/>
        <v>6.0216000000000003</v>
      </c>
      <c r="I478" s="27"/>
      <c r="J478" s="40">
        <f t="shared" ref="J478" si="204">+I478*H478</f>
        <v>0</v>
      </c>
    </row>
    <row r="479" spans="1:10" ht="24" customHeight="1">
      <c r="A479" s="37">
        <v>707062</v>
      </c>
      <c r="B479" s="9" t="s">
        <v>496</v>
      </c>
      <c r="C479" s="5">
        <v>16.71</v>
      </c>
      <c r="D479" s="5"/>
      <c r="E479" s="5"/>
      <c r="F479" s="21">
        <v>18.079999999999998</v>
      </c>
      <c r="G479" s="5">
        <v>3.5</v>
      </c>
      <c r="H479" s="24">
        <f t="shared" si="201"/>
        <v>17.447199999999999</v>
      </c>
      <c r="I479" s="27"/>
      <c r="J479" s="40">
        <f t="shared" si="203"/>
        <v>0</v>
      </c>
    </row>
    <row r="480" spans="1:10" ht="24" customHeight="1">
      <c r="A480" s="37">
        <v>661476</v>
      </c>
      <c r="B480" s="9" t="s">
        <v>497</v>
      </c>
      <c r="C480" s="5">
        <v>18.059999999999999</v>
      </c>
      <c r="D480" s="5"/>
      <c r="E480" s="5"/>
      <c r="F480" s="21">
        <v>19.55</v>
      </c>
      <c r="G480" s="5">
        <v>3.5</v>
      </c>
      <c r="H480" s="24">
        <f t="shared" si="201"/>
        <v>18.865749999999998</v>
      </c>
      <c r="I480" s="27"/>
      <c r="J480" s="40">
        <f t="shared" si="203"/>
        <v>0</v>
      </c>
    </row>
    <row r="481" spans="1:10" ht="24" customHeight="1">
      <c r="A481" s="337" t="s">
        <v>140</v>
      </c>
      <c r="B481" s="338"/>
      <c r="C481" s="338"/>
      <c r="D481" s="338"/>
      <c r="E481" s="338"/>
      <c r="F481" s="338"/>
      <c r="G481" s="338"/>
      <c r="H481" s="339"/>
      <c r="I481" s="27"/>
      <c r="J481" s="36"/>
    </row>
    <row r="482" spans="1:10" ht="24" customHeight="1">
      <c r="A482" s="37">
        <v>962720</v>
      </c>
      <c r="B482" s="9" t="s">
        <v>141</v>
      </c>
      <c r="C482" s="13">
        <v>3.44</v>
      </c>
      <c r="D482" s="5">
        <v>15</v>
      </c>
      <c r="E482" s="5">
        <f>+C482*0.85</f>
        <v>2.9239999999999999</v>
      </c>
      <c r="F482" s="5"/>
      <c r="G482" s="5"/>
      <c r="H482" s="24"/>
      <c r="I482" s="27"/>
      <c r="J482" s="40">
        <f>+I482*E482</f>
        <v>0</v>
      </c>
    </row>
    <row r="483" spans="1:10" ht="24" customHeight="1">
      <c r="A483" s="37"/>
      <c r="B483" s="9" t="s">
        <v>654</v>
      </c>
      <c r="C483" s="13">
        <v>3.44</v>
      </c>
      <c r="D483" s="5">
        <v>20</v>
      </c>
      <c r="E483" s="5">
        <f>C483*0.8</f>
        <v>2.7520000000000002</v>
      </c>
      <c r="F483" s="5"/>
      <c r="G483" s="5"/>
      <c r="H483" s="24"/>
      <c r="I483" s="27"/>
      <c r="J483" s="40">
        <f t="shared" ref="J483:J486" si="205">+I483*E483</f>
        <v>0</v>
      </c>
    </row>
    <row r="484" spans="1:10" ht="24" customHeight="1">
      <c r="A484" s="37"/>
      <c r="B484" s="9" t="s">
        <v>755</v>
      </c>
      <c r="C484" s="13">
        <v>3.44</v>
      </c>
      <c r="D484" s="5">
        <v>28</v>
      </c>
      <c r="E484" s="5">
        <f>+C484*0.72</f>
        <v>2.4767999999999999</v>
      </c>
      <c r="F484" s="5"/>
      <c r="G484" s="5"/>
      <c r="H484" s="24"/>
      <c r="I484" s="27"/>
      <c r="J484" s="40">
        <f t="shared" si="205"/>
        <v>0</v>
      </c>
    </row>
    <row r="485" spans="1:10" ht="24" customHeight="1">
      <c r="A485" s="37">
        <v>372441</v>
      </c>
      <c r="B485" s="9" t="s">
        <v>183</v>
      </c>
      <c r="C485" s="13">
        <v>6.1</v>
      </c>
      <c r="D485" s="5">
        <v>15</v>
      </c>
      <c r="E485" s="5">
        <f>+C485*0.85</f>
        <v>5.1849999999999996</v>
      </c>
      <c r="F485" s="5"/>
      <c r="G485" s="5"/>
      <c r="H485" s="24"/>
      <c r="I485" s="27"/>
      <c r="J485" s="40">
        <f t="shared" si="205"/>
        <v>0</v>
      </c>
    </row>
    <row r="486" spans="1:10" ht="24" customHeight="1">
      <c r="A486" s="37"/>
      <c r="B486" s="9" t="s">
        <v>311</v>
      </c>
      <c r="C486" s="13">
        <v>6.1</v>
      </c>
      <c r="D486" s="5">
        <v>20</v>
      </c>
      <c r="E486" s="5">
        <f>+C486*0.8</f>
        <v>4.88</v>
      </c>
      <c r="F486" s="5"/>
      <c r="G486" s="5"/>
      <c r="H486" s="24"/>
      <c r="I486" s="27"/>
      <c r="J486" s="40">
        <f t="shared" si="205"/>
        <v>0</v>
      </c>
    </row>
    <row r="487" spans="1:10" ht="24" customHeight="1">
      <c r="A487" s="37"/>
      <c r="B487" s="9" t="s">
        <v>756</v>
      </c>
      <c r="C487" s="13">
        <v>6.1</v>
      </c>
      <c r="D487" s="5">
        <v>25</v>
      </c>
      <c r="E487" s="5">
        <f>+C487*0.75</f>
        <v>4.5749999999999993</v>
      </c>
      <c r="F487" s="5"/>
      <c r="G487" s="5"/>
      <c r="H487" s="24"/>
      <c r="I487" s="27"/>
      <c r="J487" s="40">
        <f t="shared" ref="J487" si="206">+I487*E487</f>
        <v>0</v>
      </c>
    </row>
    <row r="488" spans="1:10" ht="24" customHeight="1">
      <c r="A488" s="337" t="s">
        <v>36</v>
      </c>
      <c r="B488" s="338"/>
      <c r="C488" s="338"/>
      <c r="D488" s="338"/>
      <c r="E488" s="338"/>
      <c r="F488" s="338"/>
      <c r="G488" s="338"/>
      <c r="H488" s="339"/>
      <c r="I488" s="27"/>
      <c r="J488" s="36"/>
    </row>
    <row r="489" spans="1:10" ht="24" customHeight="1">
      <c r="A489" s="37">
        <v>672287</v>
      </c>
      <c r="B489" s="9" t="s">
        <v>37</v>
      </c>
      <c r="C489" s="13">
        <v>9.33</v>
      </c>
      <c r="D489" s="5">
        <v>3</v>
      </c>
      <c r="E489" s="5">
        <f>+C489*0.97</f>
        <v>9.0501000000000005</v>
      </c>
      <c r="F489" s="5"/>
      <c r="G489" s="5"/>
      <c r="H489" s="24"/>
      <c r="I489" s="27"/>
      <c r="J489" s="40">
        <f>+I489*E489</f>
        <v>0</v>
      </c>
    </row>
    <row r="490" spans="1:10" ht="24" customHeight="1">
      <c r="A490" s="37">
        <v>677291</v>
      </c>
      <c r="B490" s="9" t="s">
        <v>38</v>
      </c>
      <c r="C490" s="13">
        <v>10.88</v>
      </c>
      <c r="D490" s="5">
        <v>3</v>
      </c>
      <c r="E490" s="5">
        <f>+C490*0.97</f>
        <v>10.553600000000001</v>
      </c>
      <c r="F490" s="5"/>
      <c r="G490" s="5"/>
      <c r="H490" s="24"/>
      <c r="I490" s="27"/>
      <c r="J490" s="40">
        <f t="shared" ref="J490:J494" si="207">+I490*E490</f>
        <v>0</v>
      </c>
    </row>
    <row r="491" spans="1:10" ht="24" customHeight="1">
      <c r="A491" s="37"/>
      <c r="B491" s="9" t="s">
        <v>598</v>
      </c>
      <c r="C491" s="13">
        <v>10.88</v>
      </c>
      <c r="D491" s="5">
        <v>4.5</v>
      </c>
      <c r="E491" s="5">
        <f>+C491*0.955</f>
        <v>10.3904</v>
      </c>
      <c r="F491" s="5"/>
      <c r="G491" s="5"/>
      <c r="H491" s="24"/>
      <c r="I491" s="27"/>
      <c r="J491" s="40">
        <f t="shared" si="207"/>
        <v>0</v>
      </c>
    </row>
    <row r="492" spans="1:10" ht="24" customHeight="1">
      <c r="A492" s="37">
        <v>654515</v>
      </c>
      <c r="B492" s="9" t="s">
        <v>134</v>
      </c>
      <c r="C492" s="13">
        <v>9.58</v>
      </c>
      <c r="D492" s="5">
        <v>3</v>
      </c>
      <c r="E492" s="5">
        <f>+C492*0.97</f>
        <v>9.2926000000000002</v>
      </c>
      <c r="F492" s="5"/>
      <c r="G492" s="5"/>
      <c r="H492" s="24"/>
      <c r="I492" s="27"/>
      <c r="J492" s="40">
        <f t="shared" si="207"/>
        <v>0</v>
      </c>
    </row>
    <row r="493" spans="1:10" ht="24" customHeight="1">
      <c r="A493" s="37"/>
      <c r="B493" s="9" t="s">
        <v>599</v>
      </c>
      <c r="C493" s="13">
        <v>9.58</v>
      </c>
      <c r="D493" s="5">
        <v>4</v>
      </c>
      <c r="E493" s="5">
        <f>+C493*0.96</f>
        <v>9.1967999999999996</v>
      </c>
      <c r="F493" s="5"/>
      <c r="G493" s="5"/>
      <c r="H493" s="24"/>
      <c r="I493" s="27"/>
      <c r="J493" s="40">
        <f t="shared" si="207"/>
        <v>0</v>
      </c>
    </row>
    <row r="494" spans="1:10" ht="24" customHeight="1">
      <c r="A494" s="37">
        <v>710627</v>
      </c>
      <c r="B494" s="9" t="s">
        <v>233</v>
      </c>
      <c r="C494" s="13">
        <v>11.13</v>
      </c>
      <c r="D494" s="5">
        <v>3</v>
      </c>
      <c r="E494" s="5">
        <f>+C494*0.97</f>
        <v>10.796100000000001</v>
      </c>
      <c r="F494" s="5"/>
      <c r="G494" s="5"/>
      <c r="H494" s="24"/>
      <c r="I494" s="27"/>
      <c r="J494" s="40">
        <f t="shared" si="207"/>
        <v>0</v>
      </c>
    </row>
    <row r="495" spans="1:10" ht="24" customHeight="1">
      <c r="A495" s="37">
        <v>654177</v>
      </c>
      <c r="B495" s="8" t="s">
        <v>121</v>
      </c>
      <c r="C495" s="5">
        <v>1.21</v>
      </c>
      <c r="D495" s="5"/>
      <c r="E495" s="5"/>
      <c r="F495" s="21">
        <v>1.31</v>
      </c>
      <c r="G495" s="5">
        <v>3.5</v>
      </c>
      <c r="H495" s="24">
        <f t="shared" ref="H495" si="208">F495*0.965</f>
        <v>1.2641500000000001</v>
      </c>
      <c r="I495" s="27"/>
      <c r="J495" s="40">
        <f t="shared" ref="J495:J500" si="209">+I495*H495</f>
        <v>0</v>
      </c>
    </row>
    <row r="496" spans="1:10" ht="24" customHeight="1">
      <c r="A496" s="37"/>
      <c r="B496" s="8" t="s">
        <v>171</v>
      </c>
      <c r="C496" s="5">
        <v>1.21</v>
      </c>
      <c r="D496" s="5"/>
      <c r="E496" s="5"/>
      <c r="F496" s="21">
        <v>1.31</v>
      </c>
      <c r="G496" s="5">
        <v>5</v>
      </c>
      <c r="H496" s="24">
        <f>F496*0.95</f>
        <v>1.2444999999999999</v>
      </c>
      <c r="I496" s="27"/>
      <c r="J496" s="40">
        <f t="shared" si="209"/>
        <v>0</v>
      </c>
    </row>
    <row r="497" spans="1:10" ht="24" customHeight="1">
      <c r="A497" s="37">
        <v>654179</v>
      </c>
      <c r="B497" s="8" t="s">
        <v>122</v>
      </c>
      <c r="C497" s="5">
        <v>2.21</v>
      </c>
      <c r="D497" s="5"/>
      <c r="E497" s="5"/>
      <c r="F497" s="21">
        <v>2.39</v>
      </c>
      <c r="G497" s="5">
        <v>3.5</v>
      </c>
      <c r="H497" s="24">
        <f t="shared" ref="H497" si="210">F497*0.965</f>
        <v>2.3063500000000001</v>
      </c>
      <c r="I497" s="27"/>
      <c r="J497" s="40">
        <f t="shared" si="209"/>
        <v>0</v>
      </c>
    </row>
    <row r="498" spans="1:10" ht="24" customHeight="1">
      <c r="A498" s="37">
        <v>178465</v>
      </c>
      <c r="B498" s="8" t="s">
        <v>796</v>
      </c>
      <c r="C498" s="13">
        <v>12</v>
      </c>
      <c r="D498" s="5"/>
      <c r="E498" s="5">
        <f>+C498</f>
        <v>12</v>
      </c>
      <c r="F498" s="5"/>
      <c r="G498" s="5"/>
      <c r="H498" s="24"/>
      <c r="I498" s="27"/>
      <c r="J498" s="40">
        <f>+I498*E498</f>
        <v>0</v>
      </c>
    </row>
    <row r="499" spans="1:10" ht="24" customHeight="1">
      <c r="A499" s="37"/>
      <c r="B499" s="8" t="s">
        <v>797</v>
      </c>
      <c r="C499" s="13">
        <v>12</v>
      </c>
      <c r="D499" s="5">
        <v>5</v>
      </c>
      <c r="E499" s="5">
        <f>+C499*0.95</f>
        <v>11.399999999999999</v>
      </c>
      <c r="F499" s="5"/>
      <c r="G499" s="5"/>
      <c r="H499" s="24"/>
      <c r="I499" s="27"/>
      <c r="J499" s="40">
        <f>+I499*E499</f>
        <v>0</v>
      </c>
    </row>
    <row r="500" spans="1:10" ht="24" customHeight="1">
      <c r="A500" s="37"/>
      <c r="B500" s="8" t="s">
        <v>794</v>
      </c>
      <c r="C500" s="5">
        <v>2.21</v>
      </c>
      <c r="D500" s="5"/>
      <c r="E500" s="5"/>
      <c r="F500" s="21">
        <v>2.39</v>
      </c>
      <c r="G500" s="5">
        <v>5</v>
      </c>
      <c r="H500" s="24">
        <f>F500*0.95</f>
        <v>2.2705000000000002</v>
      </c>
      <c r="I500" s="27"/>
      <c r="J500" s="40">
        <f t="shared" si="209"/>
        <v>0</v>
      </c>
    </row>
    <row r="501" spans="1:10" ht="24" customHeight="1">
      <c r="A501" s="337" t="s">
        <v>103</v>
      </c>
      <c r="B501" s="338"/>
      <c r="C501" s="338"/>
      <c r="D501" s="338"/>
      <c r="E501" s="338"/>
      <c r="F501" s="338"/>
      <c r="G501" s="338"/>
      <c r="H501" s="339"/>
      <c r="I501" s="27"/>
      <c r="J501" s="36"/>
    </row>
    <row r="502" spans="1:10" ht="24" customHeight="1">
      <c r="A502" s="37">
        <v>661011</v>
      </c>
      <c r="B502" s="9" t="s">
        <v>104</v>
      </c>
      <c r="C502" s="13">
        <v>92.74</v>
      </c>
      <c r="D502" s="5">
        <v>3.5</v>
      </c>
      <c r="E502" s="5">
        <f>+C502</f>
        <v>92.74</v>
      </c>
      <c r="F502" s="5"/>
      <c r="G502" s="5"/>
      <c r="H502" s="24">
        <f>+F502*0.965</f>
        <v>0</v>
      </c>
      <c r="I502" s="27"/>
      <c r="J502" s="40">
        <f>+I502*E502</f>
        <v>0</v>
      </c>
    </row>
    <row r="503" spans="1:10" ht="24" customHeight="1">
      <c r="A503" s="37"/>
      <c r="B503" s="9" t="s">
        <v>341</v>
      </c>
      <c r="C503" s="13">
        <v>92.74</v>
      </c>
      <c r="D503" s="5">
        <v>5</v>
      </c>
      <c r="E503" s="5">
        <f>+C503</f>
        <v>92.74</v>
      </c>
      <c r="F503" s="5"/>
      <c r="G503" s="5"/>
      <c r="H503" s="24">
        <f>+F503*0.955</f>
        <v>0</v>
      </c>
      <c r="I503" s="27"/>
      <c r="J503" s="40">
        <f>+I503*E503</f>
        <v>0</v>
      </c>
    </row>
    <row r="504" spans="1:10" ht="24" customHeight="1">
      <c r="A504" s="337" t="s">
        <v>339</v>
      </c>
      <c r="B504" s="338"/>
      <c r="C504" s="338"/>
      <c r="D504" s="338"/>
      <c r="E504" s="338"/>
      <c r="F504" s="338"/>
      <c r="G504" s="338"/>
      <c r="H504" s="339"/>
      <c r="I504" s="27"/>
      <c r="J504" s="36"/>
    </row>
    <row r="505" spans="1:10" ht="24" customHeight="1">
      <c r="A505" s="37">
        <v>661012</v>
      </c>
      <c r="B505" s="9" t="s">
        <v>340</v>
      </c>
      <c r="C505" s="5">
        <v>92.74</v>
      </c>
      <c r="D505" s="5"/>
      <c r="E505" s="5"/>
      <c r="F505" s="21">
        <v>100.28</v>
      </c>
      <c r="G505" s="5">
        <v>3.5</v>
      </c>
      <c r="H505" s="24">
        <f>+F505*0.965</f>
        <v>96.770200000000003</v>
      </c>
      <c r="I505" s="27"/>
      <c r="J505" s="40">
        <f>+I505*H505</f>
        <v>0</v>
      </c>
    </row>
    <row r="506" spans="1:10" ht="24" customHeight="1">
      <c r="A506" s="37">
        <v>702056</v>
      </c>
      <c r="B506" s="9" t="s">
        <v>362</v>
      </c>
      <c r="C506" s="5">
        <v>10.92</v>
      </c>
      <c r="D506" s="5"/>
      <c r="E506" s="5"/>
      <c r="F506" s="21">
        <v>11.82</v>
      </c>
      <c r="G506" s="5">
        <v>3.5</v>
      </c>
      <c r="H506" s="24">
        <f t="shared" ref="H506:H511" si="211">+F506*0.965</f>
        <v>11.4063</v>
      </c>
      <c r="I506" s="27"/>
      <c r="J506" s="40">
        <f t="shared" ref="J506:J511" si="212">+I506*H506</f>
        <v>0</v>
      </c>
    </row>
    <row r="507" spans="1:10" ht="24" customHeight="1">
      <c r="A507" s="37">
        <v>702057</v>
      </c>
      <c r="B507" s="9" t="s">
        <v>363</v>
      </c>
      <c r="C507" s="5">
        <v>21.84</v>
      </c>
      <c r="D507" s="5"/>
      <c r="E507" s="5"/>
      <c r="F507" s="21">
        <v>23.63</v>
      </c>
      <c r="G507" s="5">
        <v>3.5</v>
      </c>
      <c r="H507" s="24">
        <f t="shared" si="211"/>
        <v>22.802949999999999</v>
      </c>
      <c r="I507" s="27"/>
      <c r="J507" s="40">
        <f t="shared" si="212"/>
        <v>0</v>
      </c>
    </row>
    <row r="508" spans="1:10" ht="24" customHeight="1">
      <c r="A508" s="37">
        <v>722304</v>
      </c>
      <c r="B508" s="9" t="s">
        <v>407</v>
      </c>
      <c r="C508" s="5">
        <v>28.39</v>
      </c>
      <c r="D508" s="5"/>
      <c r="E508" s="5"/>
      <c r="F508" s="21">
        <v>30.72</v>
      </c>
      <c r="G508" s="5">
        <v>3.5</v>
      </c>
      <c r="H508" s="24">
        <f t="shared" ref="H508" si="213">+F508*0.965</f>
        <v>29.644799999999996</v>
      </c>
      <c r="I508" s="27"/>
      <c r="J508" s="40">
        <f t="shared" ref="J508" si="214">+I508*H508</f>
        <v>0</v>
      </c>
    </row>
    <row r="509" spans="1:10" ht="24" customHeight="1">
      <c r="A509" s="37">
        <v>702058</v>
      </c>
      <c r="B509" s="9" t="s">
        <v>364</v>
      </c>
      <c r="C509" s="5">
        <v>34.94</v>
      </c>
      <c r="D509" s="5"/>
      <c r="E509" s="5"/>
      <c r="F509" s="21">
        <v>37.82</v>
      </c>
      <c r="G509" s="5">
        <v>3.5</v>
      </c>
      <c r="H509" s="24">
        <f t="shared" si="211"/>
        <v>36.496299999999998</v>
      </c>
      <c r="I509" s="27"/>
      <c r="J509" s="40">
        <f t="shared" si="212"/>
        <v>0</v>
      </c>
    </row>
    <row r="510" spans="1:10" ht="24" customHeight="1">
      <c r="A510" s="37">
        <v>726594</v>
      </c>
      <c r="B510" s="9" t="s">
        <v>724</v>
      </c>
      <c r="C510" s="5">
        <v>22.77</v>
      </c>
      <c r="D510" s="5"/>
      <c r="E510" s="5"/>
      <c r="F510" s="21">
        <v>24.64</v>
      </c>
      <c r="G510" s="5">
        <v>3.5</v>
      </c>
      <c r="H510" s="24">
        <f t="shared" ref="H510" si="215">+F510*0.965</f>
        <v>23.7776</v>
      </c>
      <c r="I510" s="27"/>
      <c r="J510" s="40">
        <f t="shared" ref="J510" si="216">+I510*H510</f>
        <v>0</v>
      </c>
    </row>
    <row r="511" spans="1:10" ht="24" customHeight="1">
      <c r="A511" s="37">
        <v>740456</v>
      </c>
      <c r="B511" s="9" t="s">
        <v>365</v>
      </c>
      <c r="C511" s="5">
        <v>3.83</v>
      </c>
      <c r="D511" s="5"/>
      <c r="E511" s="5"/>
      <c r="F511" s="21">
        <v>4.1500000000000004</v>
      </c>
      <c r="G511" s="5">
        <v>3.5</v>
      </c>
      <c r="H511" s="24">
        <f t="shared" si="211"/>
        <v>4.0047500000000005</v>
      </c>
      <c r="I511" s="27"/>
      <c r="J511" s="40">
        <f t="shared" si="212"/>
        <v>0</v>
      </c>
    </row>
    <row r="512" spans="1:10" ht="24" customHeight="1">
      <c r="A512" s="337" t="s">
        <v>607</v>
      </c>
      <c r="B512" s="338"/>
      <c r="C512" s="338"/>
      <c r="D512" s="338"/>
      <c r="E512" s="338"/>
      <c r="F512" s="338"/>
      <c r="G512" s="338"/>
      <c r="H512" s="339"/>
      <c r="I512" s="27"/>
      <c r="J512" s="36"/>
    </row>
    <row r="513" spans="1:10" ht="24" customHeight="1">
      <c r="A513" s="37">
        <v>710448</v>
      </c>
      <c r="B513" s="9" t="s">
        <v>608</v>
      </c>
      <c r="C513" s="5">
        <v>13.73</v>
      </c>
      <c r="D513" s="5"/>
      <c r="E513" s="5"/>
      <c r="F513" s="21">
        <v>14.86</v>
      </c>
      <c r="G513" s="5">
        <v>3.5</v>
      </c>
      <c r="H513" s="24">
        <f>+F513*0.965</f>
        <v>14.339899999999998</v>
      </c>
      <c r="I513" s="27"/>
      <c r="J513" s="40">
        <f>+I513*H513</f>
        <v>0</v>
      </c>
    </row>
    <row r="514" spans="1:10" ht="24" hidden="1" customHeight="1">
      <c r="A514" s="37">
        <v>658226</v>
      </c>
      <c r="B514" s="9" t="s">
        <v>609</v>
      </c>
      <c r="C514" s="5">
        <v>6.96</v>
      </c>
      <c r="D514" s="5"/>
      <c r="E514" s="5"/>
      <c r="F514" s="21">
        <v>7.53</v>
      </c>
      <c r="G514" s="5">
        <v>3.5</v>
      </c>
      <c r="H514" s="24">
        <f t="shared" ref="H514:H518" si="217">+F514*0.965</f>
        <v>7.2664499999999999</v>
      </c>
      <c r="I514" s="27"/>
      <c r="J514" s="40">
        <f t="shared" ref="J514:J518" si="218">+I514*H514</f>
        <v>0</v>
      </c>
    </row>
    <row r="515" spans="1:10" ht="24" customHeight="1">
      <c r="A515" s="37">
        <v>660197</v>
      </c>
      <c r="B515" s="9" t="s">
        <v>685</v>
      </c>
      <c r="C515" s="5">
        <v>24.98</v>
      </c>
      <c r="D515" s="5"/>
      <c r="E515" s="5"/>
      <c r="F515" s="21">
        <v>27.04</v>
      </c>
      <c r="G515" s="5">
        <v>3.5</v>
      </c>
      <c r="H515" s="24">
        <f t="shared" ref="H515:H517" si="219">+F515*0.965</f>
        <v>26.093599999999999</v>
      </c>
      <c r="I515" s="27"/>
      <c r="J515" s="40">
        <f t="shared" ref="J515:J517" si="220">+I515*H515</f>
        <v>0</v>
      </c>
    </row>
    <row r="516" spans="1:10" ht="24" customHeight="1">
      <c r="A516" s="37">
        <v>728345</v>
      </c>
      <c r="B516" s="9" t="s">
        <v>686</v>
      </c>
      <c r="C516" s="5">
        <v>28.5</v>
      </c>
      <c r="D516" s="5"/>
      <c r="E516" s="5"/>
      <c r="F516" s="21">
        <v>30.84</v>
      </c>
      <c r="G516" s="5">
        <v>3.5</v>
      </c>
      <c r="H516" s="24">
        <f t="shared" si="219"/>
        <v>29.7606</v>
      </c>
      <c r="I516" s="27"/>
      <c r="J516" s="40">
        <f t="shared" si="220"/>
        <v>0</v>
      </c>
    </row>
    <row r="517" spans="1:10" ht="24" customHeight="1">
      <c r="A517" s="37">
        <v>706651</v>
      </c>
      <c r="B517" s="9" t="s">
        <v>687</v>
      </c>
      <c r="C517" s="5">
        <v>21</v>
      </c>
      <c r="D517" s="5"/>
      <c r="E517" s="5"/>
      <c r="F517" s="21">
        <v>22.73</v>
      </c>
      <c r="G517" s="5">
        <v>3.5</v>
      </c>
      <c r="H517" s="24">
        <f t="shared" si="219"/>
        <v>21.934449999999998</v>
      </c>
      <c r="I517" s="27"/>
      <c r="J517" s="40">
        <f t="shared" si="220"/>
        <v>0</v>
      </c>
    </row>
    <row r="518" spans="1:10" ht="24" customHeight="1">
      <c r="A518" s="37">
        <v>688960</v>
      </c>
      <c r="B518" s="9" t="s">
        <v>610</v>
      </c>
      <c r="C518" s="5">
        <v>3.44</v>
      </c>
      <c r="D518" s="5"/>
      <c r="E518" s="5"/>
      <c r="F518" s="21">
        <v>3.72</v>
      </c>
      <c r="G518" s="5">
        <v>3.5</v>
      </c>
      <c r="H518" s="24">
        <f t="shared" si="217"/>
        <v>3.5897999999999999</v>
      </c>
      <c r="I518" s="27"/>
      <c r="J518" s="40">
        <f t="shared" si="218"/>
        <v>0</v>
      </c>
    </row>
    <row r="519" spans="1:10" ht="24" customHeight="1">
      <c r="A519" s="337" t="s">
        <v>611</v>
      </c>
      <c r="B519" s="338"/>
      <c r="C519" s="338"/>
      <c r="D519" s="338"/>
      <c r="E519" s="338"/>
      <c r="F519" s="338"/>
      <c r="G519" s="338"/>
      <c r="H519" s="339"/>
      <c r="I519" s="27"/>
      <c r="J519" s="36"/>
    </row>
    <row r="520" spans="1:10" ht="24" customHeight="1">
      <c r="A520" s="37">
        <v>656002</v>
      </c>
      <c r="B520" s="9" t="s">
        <v>612</v>
      </c>
      <c r="C520" s="5">
        <v>51.32</v>
      </c>
      <c r="D520" s="5"/>
      <c r="E520" s="5"/>
      <c r="F520" s="21">
        <v>55.54</v>
      </c>
      <c r="G520" s="5">
        <v>3.5</v>
      </c>
      <c r="H520" s="24">
        <f>+F520*0.965</f>
        <v>53.5961</v>
      </c>
      <c r="I520" s="27"/>
      <c r="J520" s="40">
        <f>+I520*H520</f>
        <v>0</v>
      </c>
    </row>
    <row r="521" spans="1:10" ht="24" customHeight="1">
      <c r="A521" s="337" t="s">
        <v>500</v>
      </c>
      <c r="B521" s="338"/>
      <c r="C521" s="338"/>
      <c r="D521" s="338"/>
      <c r="E521" s="338"/>
      <c r="F521" s="338"/>
      <c r="G521" s="338"/>
      <c r="H521" s="339"/>
      <c r="I521" s="27"/>
      <c r="J521" s="36"/>
    </row>
    <row r="522" spans="1:10" ht="24" customHeight="1">
      <c r="A522" s="37">
        <v>660929</v>
      </c>
      <c r="B522" s="9" t="s">
        <v>501</v>
      </c>
      <c r="C522" s="5">
        <v>13.62</v>
      </c>
      <c r="D522" s="5"/>
      <c r="E522" s="5"/>
      <c r="F522" s="21">
        <v>14.74</v>
      </c>
      <c r="G522" s="5">
        <v>4</v>
      </c>
      <c r="H522" s="24">
        <f t="shared" ref="H522:H527" si="221">+F522*0.96</f>
        <v>14.150399999999999</v>
      </c>
      <c r="I522" s="27"/>
      <c r="J522" s="40">
        <f t="shared" ref="J522:J528" si="222">+I522*H522</f>
        <v>0</v>
      </c>
    </row>
    <row r="523" spans="1:10" ht="24" customHeight="1">
      <c r="A523" s="37">
        <v>653113</v>
      </c>
      <c r="B523" s="9" t="s">
        <v>502</v>
      </c>
      <c r="C523" s="5">
        <v>10.119999999999999</v>
      </c>
      <c r="D523" s="5"/>
      <c r="E523" s="5"/>
      <c r="F523" s="21">
        <v>10.95</v>
      </c>
      <c r="G523" s="5">
        <v>4</v>
      </c>
      <c r="H523" s="24">
        <f t="shared" si="221"/>
        <v>10.511999999999999</v>
      </c>
      <c r="I523" s="27"/>
      <c r="J523" s="40">
        <f t="shared" si="222"/>
        <v>0</v>
      </c>
    </row>
    <row r="524" spans="1:10" ht="24" customHeight="1">
      <c r="A524" s="37">
        <v>655967</v>
      </c>
      <c r="B524" s="9" t="s">
        <v>503</v>
      </c>
      <c r="C524" s="5">
        <v>5.08</v>
      </c>
      <c r="D524" s="5"/>
      <c r="E524" s="5"/>
      <c r="F524" s="21">
        <v>5.5</v>
      </c>
      <c r="G524" s="5">
        <v>4</v>
      </c>
      <c r="H524" s="24">
        <f t="shared" si="221"/>
        <v>5.2799999999999994</v>
      </c>
      <c r="I524" s="27"/>
      <c r="J524" s="40">
        <f t="shared" si="222"/>
        <v>0</v>
      </c>
    </row>
    <row r="525" spans="1:10" ht="24" customHeight="1">
      <c r="A525" s="37">
        <v>678334</v>
      </c>
      <c r="B525" s="9" t="s">
        <v>504</v>
      </c>
      <c r="C525" s="5">
        <v>4.62</v>
      </c>
      <c r="D525" s="5"/>
      <c r="E525" s="5"/>
      <c r="F525" s="21">
        <v>5</v>
      </c>
      <c r="G525" s="5">
        <v>4</v>
      </c>
      <c r="H525" s="24">
        <f t="shared" si="221"/>
        <v>4.8</v>
      </c>
      <c r="I525" s="27"/>
      <c r="J525" s="40">
        <f t="shared" si="222"/>
        <v>0</v>
      </c>
    </row>
    <row r="526" spans="1:10" ht="24" customHeight="1">
      <c r="A526" s="37">
        <v>678342</v>
      </c>
      <c r="B526" s="9" t="s">
        <v>505</v>
      </c>
      <c r="C526" s="5">
        <v>2.31</v>
      </c>
      <c r="D526" s="5"/>
      <c r="E526" s="5"/>
      <c r="F526" s="21">
        <v>2.5</v>
      </c>
      <c r="G526" s="5">
        <v>4</v>
      </c>
      <c r="H526" s="24">
        <f t="shared" si="221"/>
        <v>2.4</v>
      </c>
      <c r="I526" s="27"/>
      <c r="J526" s="40">
        <f t="shared" si="222"/>
        <v>0</v>
      </c>
    </row>
    <row r="527" spans="1:10" ht="24" customHeight="1">
      <c r="A527" s="37">
        <v>666026</v>
      </c>
      <c r="B527" s="9" t="s">
        <v>506</v>
      </c>
      <c r="C527" s="5">
        <v>5.1100000000000003</v>
      </c>
      <c r="D527" s="5"/>
      <c r="E527" s="5"/>
      <c r="F527" s="21">
        <v>5.53</v>
      </c>
      <c r="G527" s="5">
        <v>4</v>
      </c>
      <c r="H527" s="24">
        <f t="shared" si="221"/>
        <v>5.3087999999999997</v>
      </c>
      <c r="I527" s="27"/>
      <c r="J527" s="40">
        <f t="shared" si="222"/>
        <v>0</v>
      </c>
    </row>
    <row r="528" spans="1:10" ht="24" customHeight="1">
      <c r="A528" s="37">
        <v>685399</v>
      </c>
      <c r="B528" s="9" t="s">
        <v>507</v>
      </c>
      <c r="C528" s="5">
        <v>13.93</v>
      </c>
      <c r="D528" s="5"/>
      <c r="E528" s="5"/>
      <c r="F528" s="21">
        <v>15.08</v>
      </c>
      <c r="G528" s="5">
        <v>4</v>
      </c>
      <c r="H528" s="24">
        <f>+F528*0.96</f>
        <v>14.476799999999999</v>
      </c>
      <c r="I528" s="27"/>
      <c r="J528" s="40">
        <f t="shared" si="222"/>
        <v>0</v>
      </c>
    </row>
    <row r="529" spans="1:10" ht="24" customHeight="1">
      <c r="A529" s="37">
        <v>715578</v>
      </c>
      <c r="B529" s="9" t="s">
        <v>583</v>
      </c>
      <c r="C529" s="5">
        <v>12.71</v>
      </c>
      <c r="D529" s="5"/>
      <c r="E529" s="5"/>
      <c r="F529" s="21">
        <v>13.76</v>
      </c>
      <c r="G529" s="5">
        <v>4</v>
      </c>
      <c r="H529" s="24">
        <f>+F529*0.96</f>
        <v>13.2096</v>
      </c>
      <c r="I529" s="27"/>
      <c r="J529" s="40">
        <f t="shared" ref="J529:J530" si="223">+I529*H529</f>
        <v>0</v>
      </c>
    </row>
    <row r="530" spans="1:10" ht="24" customHeight="1">
      <c r="A530" s="37">
        <v>721399</v>
      </c>
      <c r="B530" s="9" t="s">
        <v>584</v>
      </c>
      <c r="C530" s="5">
        <v>12.71</v>
      </c>
      <c r="D530" s="5"/>
      <c r="E530" s="5"/>
      <c r="F530" s="21">
        <v>13.76</v>
      </c>
      <c r="G530" s="5">
        <v>4</v>
      </c>
      <c r="H530" s="24">
        <f>+F530*0.96</f>
        <v>13.2096</v>
      </c>
      <c r="I530" s="27"/>
      <c r="J530" s="40">
        <f t="shared" si="223"/>
        <v>0</v>
      </c>
    </row>
    <row r="531" spans="1:10" ht="24" customHeight="1">
      <c r="A531" s="337" t="s">
        <v>519</v>
      </c>
      <c r="B531" s="338"/>
      <c r="C531" s="338"/>
      <c r="D531" s="338"/>
      <c r="E531" s="338"/>
      <c r="F531" s="338"/>
      <c r="G531" s="338"/>
      <c r="H531" s="339"/>
      <c r="I531" s="27"/>
      <c r="J531" s="36"/>
    </row>
    <row r="532" spans="1:10" ht="24" customHeight="1">
      <c r="A532" s="37">
        <v>1961747</v>
      </c>
      <c r="B532" s="9" t="s">
        <v>520</v>
      </c>
      <c r="C532" s="13">
        <v>11.5</v>
      </c>
      <c r="D532" s="5"/>
      <c r="E532" s="5">
        <f>+C532</f>
        <v>11.5</v>
      </c>
      <c r="F532" s="5"/>
      <c r="G532" s="5"/>
      <c r="H532" s="24"/>
      <c r="I532" s="27"/>
      <c r="J532" s="40">
        <f>+I532*E532</f>
        <v>0</v>
      </c>
    </row>
    <row r="533" spans="1:10" ht="24" customHeight="1">
      <c r="A533" s="337" t="s">
        <v>198</v>
      </c>
      <c r="B533" s="338"/>
      <c r="C533" s="338"/>
      <c r="D533" s="338"/>
      <c r="E533" s="338"/>
      <c r="F533" s="338"/>
      <c r="G533" s="338"/>
      <c r="H533" s="339"/>
      <c r="I533" s="27"/>
      <c r="J533" s="36"/>
    </row>
    <row r="534" spans="1:10" ht="23.25" customHeight="1">
      <c r="A534" s="37">
        <v>157680</v>
      </c>
      <c r="B534" s="9" t="s">
        <v>337</v>
      </c>
      <c r="C534" s="13">
        <v>26.14</v>
      </c>
      <c r="D534" s="5">
        <v>2</v>
      </c>
      <c r="E534" s="5">
        <f>+C534*0.98</f>
        <v>25.6172</v>
      </c>
      <c r="F534" s="5"/>
      <c r="G534" s="5"/>
      <c r="H534" s="24"/>
      <c r="I534" s="27"/>
      <c r="J534" s="40">
        <f>+I534*E534</f>
        <v>0</v>
      </c>
    </row>
    <row r="535" spans="1:10" ht="24" customHeight="1">
      <c r="A535" s="37">
        <v>176296</v>
      </c>
      <c r="B535" s="9" t="s">
        <v>336</v>
      </c>
      <c r="C535" s="13">
        <v>26.14</v>
      </c>
      <c r="D535" s="5">
        <v>2</v>
      </c>
      <c r="E535" s="5">
        <f>+C535*0.98</f>
        <v>25.6172</v>
      </c>
      <c r="F535" s="5"/>
      <c r="G535" s="5"/>
      <c r="H535" s="24"/>
      <c r="I535" s="27"/>
      <c r="J535" s="40">
        <f>+I535*E535</f>
        <v>0</v>
      </c>
    </row>
    <row r="536" spans="1:10" ht="24" hidden="1" customHeight="1">
      <c r="A536" s="37">
        <v>176298</v>
      </c>
      <c r="B536" s="9" t="s">
        <v>705</v>
      </c>
      <c r="C536" s="5">
        <v>52.28</v>
      </c>
      <c r="D536" s="5"/>
      <c r="E536" s="5"/>
      <c r="F536" s="5">
        <v>56.58</v>
      </c>
      <c r="G536" s="5">
        <v>5.5</v>
      </c>
      <c r="H536" s="24">
        <f>F536*0.945</f>
        <v>53.468099999999993</v>
      </c>
      <c r="I536" s="27"/>
      <c r="J536" s="40">
        <f>+I536*H536</f>
        <v>0</v>
      </c>
    </row>
    <row r="537" spans="1:10" ht="24" customHeight="1">
      <c r="A537" s="340" t="s">
        <v>75</v>
      </c>
      <c r="B537" s="341"/>
      <c r="C537" s="341"/>
      <c r="D537" s="341"/>
      <c r="E537" s="341"/>
      <c r="F537" s="341"/>
      <c r="G537" s="341"/>
      <c r="H537" s="341"/>
      <c r="I537" s="29"/>
      <c r="J537" s="41"/>
    </row>
    <row r="538" spans="1:10" ht="24" customHeight="1">
      <c r="A538" s="37">
        <v>188803</v>
      </c>
      <c r="B538" s="9" t="s">
        <v>835</v>
      </c>
      <c r="C538" s="5">
        <v>26.14</v>
      </c>
      <c r="D538" s="5"/>
      <c r="E538" s="5"/>
      <c r="F538" s="21">
        <v>28.29</v>
      </c>
      <c r="G538" s="5">
        <v>2</v>
      </c>
      <c r="H538" s="24">
        <f t="shared" ref="H538" si="224">F538*0.98</f>
        <v>27.7242</v>
      </c>
      <c r="I538" s="27"/>
      <c r="J538" s="40">
        <f>+I538*H538</f>
        <v>0</v>
      </c>
    </row>
    <row r="539" spans="1:10" ht="24" customHeight="1">
      <c r="A539" s="37">
        <v>188803</v>
      </c>
      <c r="B539" s="9" t="s">
        <v>836</v>
      </c>
      <c r="C539" s="5">
        <v>26.14</v>
      </c>
      <c r="D539" s="5"/>
      <c r="E539" s="5"/>
      <c r="F539" s="21">
        <v>28.29</v>
      </c>
      <c r="G539" s="5">
        <v>8.5</v>
      </c>
      <c r="H539" s="24">
        <f>F539*0.915</f>
        <v>25.885349999999999</v>
      </c>
      <c r="I539" s="27"/>
      <c r="J539" s="40">
        <f>+I539*H539</f>
        <v>0</v>
      </c>
    </row>
    <row r="540" spans="1:10" ht="24" customHeight="1">
      <c r="A540" s="37">
        <v>188803</v>
      </c>
      <c r="B540" s="9" t="s">
        <v>837</v>
      </c>
      <c r="C540" s="5">
        <v>26.14</v>
      </c>
      <c r="D540" s="5"/>
      <c r="E540" s="5"/>
      <c r="F540" s="21">
        <v>28.29</v>
      </c>
      <c r="G540" s="5">
        <v>10.3</v>
      </c>
      <c r="H540" s="24">
        <f>F540*0.897</f>
        <v>25.37613</v>
      </c>
      <c r="I540" s="27"/>
      <c r="J540" s="40">
        <f>+I540*H540</f>
        <v>0</v>
      </c>
    </row>
    <row r="541" spans="1:10" ht="24" customHeight="1">
      <c r="A541" s="37">
        <v>200599</v>
      </c>
      <c r="B541" s="9" t="s">
        <v>105</v>
      </c>
      <c r="C541" s="5">
        <v>26.14</v>
      </c>
      <c r="D541" s="5"/>
      <c r="E541" s="5"/>
      <c r="F541" s="21">
        <v>28.29</v>
      </c>
      <c r="G541" s="5">
        <v>2</v>
      </c>
      <c r="H541" s="24">
        <f t="shared" ref="H541" si="225">F541*0.98</f>
        <v>27.7242</v>
      </c>
      <c r="I541" s="27"/>
      <c r="J541" s="40">
        <f>I541*H541</f>
        <v>0</v>
      </c>
    </row>
    <row r="542" spans="1:10" ht="24" customHeight="1">
      <c r="A542" s="37">
        <v>200599</v>
      </c>
      <c r="B542" s="9" t="s">
        <v>107</v>
      </c>
      <c r="C542" s="5">
        <v>26.14</v>
      </c>
      <c r="D542" s="5"/>
      <c r="E542" s="5"/>
      <c r="F542" s="21">
        <v>28.29</v>
      </c>
      <c r="G542" s="5">
        <v>8.5</v>
      </c>
      <c r="H542" s="24">
        <f>F542*0.915</f>
        <v>25.885349999999999</v>
      </c>
      <c r="I542" s="27"/>
      <c r="J542" s="40">
        <f t="shared" ref="J542:J548" si="226">I542*H542</f>
        <v>0</v>
      </c>
    </row>
    <row r="543" spans="1:10" ht="24" customHeight="1">
      <c r="A543" s="37">
        <v>200599</v>
      </c>
      <c r="B543" s="9" t="s">
        <v>106</v>
      </c>
      <c r="C543" s="5">
        <v>26.14</v>
      </c>
      <c r="D543" s="5"/>
      <c r="E543" s="5"/>
      <c r="F543" s="21">
        <v>28.29</v>
      </c>
      <c r="G543" s="5">
        <v>10.3</v>
      </c>
      <c r="H543" s="24">
        <f>F543*0.897</f>
        <v>25.37613</v>
      </c>
      <c r="I543" s="27"/>
      <c r="J543" s="40">
        <f t="shared" si="226"/>
        <v>0</v>
      </c>
    </row>
    <row r="544" spans="1:10" ht="24" customHeight="1">
      <c r="A544" s="37">
        <v>200599</v>
      </c>
      <c r="B544" s="9" t="s">
        <v>108</v>
      </c>
      <c r="C544" s="5">
        <v>26.14</v>
      </c>
      <c r="D544" s="5"/>
      <c r="E544" s="5"/>
      <c r="F544" s="21">
        <v>28.29</v>
      </c>
      <c r="G544" s="5">
        <v>13.1</v>
      </c>
      <c r="H544" s="24">
        <f>F544*0.869</f>
        <v>24.584009999999999</v>
      </c>
      <c r="I544" s="27"/>
      <c r="J544" s="40">
        <f t="shared" si="226"/>
        <v>0</v>
      </c>
    </row>
    <row r="545" spans="1:10" ht="24" customHeight="1">
      <c r="A545" s="37">
        <v>158921</v>
      </c>
      <c r="B545" s="9" t="s">
        <v>144</v>
      </c>
      <c r="C545" s="5">
        <v>52.28</v>
      </c>
      <c r="D545" s="5"/>
      <c r="E545" s="5"/>
      <c r="F545" s="21">
        <v>56.58</v>
      </c>
      <c r="G545" s="5">
        <v>2</v>
      </c>
      <c r="H545" s="24">
        <f t="shared" ref="H545" si="227">F545*0.98</f>
        <v>55.448399999999999</v>
      </c>
      <c r="I545" s="27"/>
      <c r="J545" s="40">
        <f t="shared" si="226"/>
        <v>0</v>
      </c>
    </row>
    <row r="546" spans="1:10" ht="24" customHeight="1">
      <c r="A546" s="37">
        <v>158921</v>
      </c>
      <c r="B546" s="9" t="s">
        <v>145</v>
      </c>
      <c r="C546" s="5">
        <v>52.28</v>
      </c>
      <c r="D546" s="5"/>
      <c r="E546" s="5"/>
      <c r="F546" s="21">
        <v>56.58</v>
      </c>
      <c r="G546" s="5">
        <v>8.5</v>
      </c>
      <c r="H546" s="24">
        <f>F546*0.915</f>
        <v>51.770699999999998</v>
      </c>
      <c r="I546" s="27"/>
      <c r="J546" s="40">
        <f t="shared" si="226"/>
        <v>0</v>
      </c>
    </row>
    <row r="547" spans="1:10" ht="24" customHeight="1">
      <c r="A547" s="37">
        <v>158921</v>
      </c>
      <c r="B547" s="9" t="s">
        <v>146</v>
      </c>
      <c r="C547" s="5">
        <v>52.28</v>
      </c>
      <c r="D547" s="5"/>
      <c r="E547" s="5"/>
      <c r="F547" s="21">
        <v>56.58</v>
      </c>
      <c r="G547" s="5">
        <v>10.3</v>
      </c>
      <c r="H547" s="24">
        <f>F547*0.897</f>
        <v>50.75226</v>
      </c>
      <c r="I547" s="27"/>
      <c r="J547" s="40">
        <f t="shared" si="226"/>
        <v>0</v>
      </c>
    </row>
    <row r="548" spans="1:10" ht="24" customHeight="1">
      <c r="A548" s="37">
        <v>158921</v>
      </c>
      <c r="B548" s="12" t="s">
        <v>147</v>
      </c>
      <c r="C548" s="5">
        <v>52.28</v>
      </c>
      <c r="D548" s="5"/>
      <c r="E548" s="5"/>
      <c r="F548" s="21">
        <v>56.58</v>
      </c>
      <c r="G548" s="5">
        <v>13.1</v>
      </c>
      <c r="H548" s="24">
        <f>F548*0.869</f>
        <v>49.168019999999999</v>
      </c>
      <c r="I548" s="27"/>
      <c r="J548" s="40">
        <f t="shared" si="226"/>
        <v>0</v>
      </c>
    </row>
    <row r="549" spans="1:10" ht="24" hidden="1" customHeight="1">
      <c r="A549" s="340" t="s">
        <v>410</v>
      </c>
      <c r="B549" s="341"/>
      <c r="C549" s="341"/>
      <c r="D549" s="341"/>
      <c r="E549" s="341"/>
      <c r="F549" s="341"/>
      <c r="G549" s="341"/>
      <c r="H549" s="341"/>
      <c r="I549" s="29"/>
      <c r="J549" s="41"/>
    </row>
    <row r="550" spans="1:10" ht="24" hidden="1" customHeight="1">
      <c r="A550" s="37">
        <v>729303</v>
      </c>
      <c r="B550" s="9" t="s">
        <v>418</v>
      </c>
      <c r="C550" s="5">
        <v>4.7</v>
      </c>
      <c r="D550" s="5">
        <v>8</v>
      </c>
      <c r="E550" s="5">
        <f>+C550*0.92</f>
        <v>4.3240000000000007</v>
      </c>
      <c r="F550" s="5"/>
      <c r="G550" s="5"/>
      <c r="H550" s="24"/>
      <c r="I550" s="27"/>
      <c r="J550" s="40">
        <f>+I550*E550</f>
        <v>0</v>
      </c>
    </row>
    <row r="551" spans="1:10" ht="24" hidden="1" customHeight="1">
      <c r="A551" s="37">
        <v>158022</v>
      </c>
      <c r="B551" s="9" t="s">
        <v>419</v>
      </c>
      <c r="C551" s="5">
        <v>6.38</v>
      </c>
      <c r="D551" s="5">
        <v>8</v>
      </c>
      <c r="E551" s="5">
        <f>+C551*0.92</f>
        <v>5.8696000000000002</v>
      </c>
      <c r="F551" s="5"/>
      <c r="G551" s="5"/>
      <c r="H551" s="24"/>
      <c r="I551" s="27"/>
      <c r="J551" s="40">
        <f>+I551*E551</f>
        <v>0</v>
      </c>
    </row>
    <row r="552" spans="1:10" ht="24" customHeight="1">
      <c r="A552" s="340" t="s">
        <v>184</v>
      </c>
      <c r="B552" s="341"/>
      <c r="C552" s="341"/>
      <c r="D552" s="341"/>
      <c r="E552" s="341"/>
      <c r="F552" s="341"/>
      <c r="G552" s="341"/>
      <c r="H552" s="341"/>
      <c r="I552" s="29"/>
      <c r="J552" s="41"/>
    </row>
    <row r="553" spans="1:10" ht="24" customHeight="1">
      <c r="A553" s="37">
        <v>180853</v>
      </c>
      <c r="B553" s="9" t="s">
        <v>228</v>
      </c>
      <c r="C553" s="13">
        <v>26.14</v>
      </c>
      <c r="D553" s="5">
        <v>4</v>
      </c>
      <c r="E553" s="5">
        <f>+C553*0.96</f>
        <v>25.0944</v>
      </c>
      <c r="F553" s="5"/>
      <c r="G553" s="5"/>
      <c r="H553" s="24"/>
      <c r="I553" s="27"/>
      <c r="J553" s="40">
        <f>+I553*E553</f>
        <v>0</v>
      </c>
    </row>
    <row r="554" spans="1:10" ht="24" customHeight="1">
      <c r="A554" s="340" t="s">
        <v>840</v>
      </c>
      <c r="B554" s="341"/>
      <c r="C554" s="341"/>
      <c r="D554" s="341"/>
      <c r="E554" s="341"/>
      <c r="F554" s="341"/>
      <c r="G554" s="341"/>
      <c r="H554" s="341"/>
      <c r="I554" s="29"/>
      <c r="J554" s="41"/>
    </row>
    <row r="555" spans="1:10" ht="24" customHeight="1">
      <c r="A555" s="37">
        <v>700603</v>
      </c>
      <c r="B555" s="9" t="s">
        <v>866</v>
      </c>
      <c r="C555" s="13">
        <v>36.03</v>
      </c>
      <c r="D555" s="5">
        <v>10</v>
      </c>
      <c r="E555" s="5">
        <f>+C555*0.9</f>
        <v>32.427</v>
      </c>
      <c r="F555" s="5"/>
      <c r="G555" s="5"/>
      <c r="H555" s="24"/>
      <c r="I555" s="27"/>
      <c r="J555" s="40">
        <f>+I555*E555</f>
        <v>0</v>
      </c>
    </row>
    <row r="556" spans="1:10" ht="24" customHeight="1">
      <c r="A556" s="37">
        <v>158969</v>
      </c>
      <c r="B556" s="9" t="s">
        <v>841</v>
      </c>
      <c r="C556" s="13">
        <v>25.84</v>
      </c>
      <c r="D556" s="5">
        <v>5</v>
      </c>
      <c r="E556" s="5">
        <f>+C556*0.95</f>
        <v>24.547999999999998</v>
      </c>
      <c r="F556" s="5"/>
      <c r="G556" s="5"/>
      <c r="H556" s="24"/>
      <c r="I556" s="27"/>
      <c r="J556" s="40">
        <f>+I556*E556</f>
        <v>0</v>
      </c>
    </row>
    <row r="557" spans="1:10" ht="24" customHeight="1">
      <c r="A557" s="344" t="s">
        <v>838</v>
      </c>
      <c r="B557" s="345"/>
      <c r="C557" s="345"/>
      <c r="D557" s="345"/>
      <c r="E557" s="345"/>
      <c r="F557" s="345"/>
      <c r="G557" s="345"/>
      <c r="H557" s="345"/>
      <c r="I557" s="29"/>
      <c r="J557" s="41"/>
    </row>
    <row r="558" spans="1:10" ht="24" customHeight="1">
      <c r="A558" s="37">
        <v>161961</v>
      </c>
      <c r="B558" s="9" t="s">
        <v>839</v>
      </c>
      <c r="C558" s="13">
        <v>26.14</v>
      </c>
      <c r="D558" s="5">
        <v>5</v>
      </c>
      <c r="E558" s="5">
        <f>+C558*0.95</f>
        <v>24.832999999999998</v>
      </c>
      <c r="F558" s="5"/>
      <c r="G558" s="5"/>
      <c r="H558" s="24"/>
      <c r="I558" s="27"/>
      <c r="J558" s="40">
        <f>+I558*E558</f>
        <v>0</v>
      </c>
    </row>
    <row r="559" spans="1:10" ht="24" customHeight="1">
      <c r="A559" s="340" t="s">
        <v>577</v>
      </c>
      <c r="B559" s="341"/>
      <c r="C559" s="341"/>
      <c r="D559" s="341"/>
      <c r="E559" s="341"/>
      <c r="F559" s="341"/>
      <c r="G559" s="341"/>
      <c r="H559" s="341"/>
      <c r="I559" s="29"/>
      <c r="J559" s="41"/>
    </row>
    <row r="560" spans="1:10" ht="24" customHeight="1">
      <c r="A560" s="37">
        <v>252346</v>
      </c>
      <c r="B560" s="9" t="s">
        <v>578</v>
      </c>
      <c r="C560" s="13">
        <v>25.84</v>
      </c>
      <c r="D560" s="5"/>
      <c r="E560" s="5">
        <f>+C560</f>
        <v>25.84</v>
      </c>
      <c r="F560" s="5"/>
      <c r="G560" s="5"/>
      <c r="H560" s="24"/>
      <c r="I560" s="27"/>
      <c r="J560" s="40">
        <f>+I560*E560</f>
        <v>0</v>
      </c>
    </row>
    <row r="561" spans="1:10" ht="24" customHeight="1">
      <c r="A561" s="340" t="s">
        <v>453</v>
      </c>
      <c r="B561" s="341"/>
      <c r="C561" s="341"/>
      <c r="D561" s="341"/>
      <c r="E561" s="341"/>
      <c r="F561" s="341"/>
      <c r="G561" s="341"/>
      <c r="H561" s="341"/>
      <c r="I561" s="29"/>
      <c r="J561" s="41"/>
    </row>
    <row r="562" spans="1:10" ht="24" customHeight="1">
      <c r="A562" s="37">
        <v>672825</v>
      </c>
      <c r="B562" s="9" t="s">
        <v>639</v>
      </c>
      <c r="C562" s="5">
        <v>6.85</v>
      </c>
      <c r="D562" s="5"/>
      <c r="E562" s="5"/>
      <c r="F562" s="21">
        <v>7.41</v>
      </c>
      <c r="G562" s="5">
        <v>3.5</v>
      </c>
      <c r="H562" s="24">
        <f>+F562*0.965</f>
        <v>7.1506499999999997</v>
      </c>
      <c r="I562" s="27"/>
      <c r="J562" s="40">
        <f>+I562*H562</f>
        <v>0</v>
      </c>
    </row>
    <row r="563" spans="1:10" ht="24" customHeight="1">
      <c r="A563" s="37">
        <v>672830</v>
      </c>
      <c r="B563" s="9" t="s">
        <v>640</v>
      </c>
      <c r="C563" s="5">
        <v>13.71</v>
      </c>
      <c r="D563" s="5"/>
      <c r="E563" s="5"/>
      <c r="F563" s="21">
        <v>14.84</v>
      </c>
      <c r="G563" s="5">
        <v>3.5</v>
      </c>
      <c r="H563" s="24">
        <f t="shared" ref="H563:H568" si="228">+F563*0.965</f>
        <v>14.320599999999999</v>
      </c>
      <c r="I563" s="27"/>
      <c r="J563" s="40">
        <f t="shared" ref="J563:J568" si="229">+I563*H563</f>
        <v>0</v>
      </c>
    </row>
    <row r="564" spans="1:10" ht="24" customHeight="1">
      <c r="A564" s="37">
        <v>672822</v>
      </c>
      <c r="B564" s="9" t="s">
        <v>641</v>
      </c>
      <c r="C564" s="5">
        <v>3.43</v>
      </c>
      <c r="D564" s="5"/>
      <c r="E564" s="5"/>
      <c r="F564" s="21">
        <v>3.71</v>
      </c>
      <c r="G564" s="5">
        <v>3.5</v>
      </c>
      <c r="H564" s="24">
        <f t="shared" si="228"/>
        <v>3.5801499999999997</v>
      </c>
      <c r="I564" s="27"/>
      <c r="J564" s="40">
        <f t="shared" si="229"/>
        <v>0</v>
      </c>
    </row>
    <row r="565" spans="1:10" ht="24" customHeight="1">
      <c r="A565" s="37">
        <v>665751</v>
      </c>
      <c r="B565" s="9" t="s">
        <v>102</v>
      </c>
      <c r="C565" s="5">
        <v>10.06</v>
      </c>
      <c r="D565" s="5"/>
      <c r="E565" s="5"/>
      <c r="F565" s="21">
        <v>10.89</v>
      </c>
      <c r="G565" s="5">
        <v>3.5</v>
      </c>
      <c r="H565" s="24">
        <f t="shared" si="228"/>
        <v>10.508850000000001</v>
      </c>
      <c r="I565" s="27"/>
      <c r="J565" s="40">
        <f t="shared" si="229"/>
        <v>0</v>
      </c>
    </row>
    <row r="566" spans="1:10" ht="24" customHeight="1">
      <c r="A566" s="37">
        <v>991265</v>
      </c>
      <c r="B566" s="9" t="s">
        <v>642</v>
      </c>
      <c r="C566" s="5">
        <v>4.3099999999999996</v>
      </c>
      <c r="D566" s="5"/>
      <c r="E566" s="5"/>
      <c r="F566" s="21">
        <v>4.66</v>
      </c>
      <c r="G566" s="5">
        <v>3.5</v>
      </c>
      <c r="H566" s="24">
        <f t="shared" si="228"/>
        <v>4.4969000000000001</v>
      </c>
      <c r="I566" s="27"/>
      <c r="J566" s="40">
        <f t="shared" si="229"/>
        <v>0</v>
      </c>
    </row>
    <row r="567" spans="1:10" ht="24" customHeight="1">
      <c r="A567" s="37">
        <v>661141</v>
      </c>
      <c r="B567" s="9" t="s">
        <v>653</v>
      </c>
      <c r="C567" s="5">
        <v>7.2</v>
      </c>
      <c r="D567" s="5"/>
      <c r="E567" s="5"/>
      <c r="F567" s="21">
        <v>7.79</v>
      </c>
      <c r="G567" s="5">
        <v>3.5</v>
      </c>
      <c r="H567" s="24">
        <f t="shared" ref="H567" si="230">+F567*0.965</f>
        <v>7.5173499999999995</v>
      </c>
      <c r="I567" s="27"/>
      <c r="J567" s="40">
        <f t="shared" ref="J567" si="231">+I567*H567</f>
        <v>0</v>
      </c>
    </row>
    <row r="568" spans="1:10" ht="24" hidden="1" customHeight="1">
      <c r="A568" s="37">
        <v>703152</v>
      </c>
      <c r="B568" s="9" t="s">
        <v>652</v>
      </c>
      <c r="C568" s="5">
        <v>7.2</v>
      </c>
      <c r="D568" s="5"/>
      <c r="E568" s="5"/>
      <c r="F568" s="5">
        <v>7.79</v>
      </c>
      <c r="G568" s="5">
        <v>3.5</v>
      </c>
      <c r="H568" s="24">
        <f t="shared" si="228"/>
        <v>7.5173499999999995</v>
      </c>
      <c r="I568" s="27"/>
      <c r="J568" s="40">
        <f t="shared" si="229"/>
        <v>0</v>
      </c>
    </row>
    <row r="569" spans="1:10" ht="24" customHeight="1">
      <c r="A569" s="340" t="s">
        <v>512</v>
      </c>
      <c r="B569" s="341"/>
      <c r="C569" s="341"/>
      <c r="D569" s="341"/>
      <c r="E569" s="341"/>
      <c r="F569" s="341"/>
      <c r="G569" s="341"/>
      <c r="H569" s="341"/>
      <c r="I569" s="29"/>
      <c r="J569" s="41"/>
    </row>
    <row r="570" spans="1:10" ht="24" customHeight="1">
      <c r="A570" s="37">
        <v>835454</v>
      </c>
      <c r="B570" s="9" t="s">
        <v>678</v>
      </c>
      <c r="C570" s="5">
        <v>5.63</v>
      </c>
      <c r="D570" s="5"/>
      <c r="E570" s="5"/>
      <c r="F570" s="21">
        <v>6.09</v>
      </c>
      <c r="G570" s="5">
        <v>3.5</v>
      </c>
      <c r="H570" s="24">
        <f t="shared" ref="H570:H572" si="232">+F570*0.965</f>
        <v>5.8768499999999992</v>
      </c>
      <c r="I570" s="27"/>
      <c r="J570" s="40">
        <f t="shared" ref="J570:J572" si="233">+I570*H570</f>
        <v>0</v>
      </c>
    </row>
    <row r="571" spans="1:10" ht="24" customHeight="1">
      <c r="A571" s="37">
        <v>915884</v>
      </c>
      <c r="B571" s="9" t="s">
        <v>679</v>
      </c>
      <c r="C571" s="5">
        <v>5.63</v>
      </c>
      <c r="D571" s="5"/>
      <c r="E571" s="5"/>
      <c r="F571" s="21">
        <v>6.09</v>
      </c>
      <c r="G571" s="5">
        <v>3.5</v>
      </c>
      <c r="H571" s="24">
        <f t="shared" si="232"/>
        <v>5.8768499999999992</v>
      </c>
      <c r="I571" s="27"/>
      <c r="J571" s="40">
        <f t="shared" si="233"/>
        <v>0</v>
      </c>
    </row>
    <row r="572" spans="1:10" ht="24" customHeight="1">
      <c r="A572" s="37">
        <v>989624</v>
      </c>
      <c r="B572" s="9" t="s">
        <v>680</v>
      </c>
      <c r="C572" s="5">
        <v>2.82</v>
      </c>
      <c r="D572" s="5"/>
      <c r="E572" s="5"/>
      <c r="F572" s="21">
        <v>3.05</v>
      </c>
      <c r="G572" s="5">
        <v>3.5</v>
      </c>
      <c r="H572" s="24">
        <f t="shared" si="232"/>
        <v>2.9432499999999999</v>
      </c>
      <c r="I572" s="27"/>
      <c r="J572" s="40">
        <f t="shared" si="233"/>
        <v>0</v>
      </c>
    </row>
    <row r="573" spans="1:10" ht="24" customHeight="1">
      <c r="A573" s="37">
        <v>849703</v>
      </c>
      <c r="B573" s="9" t="s">
        <v>725</v>
      </c>
      <c r="C573" s="5">
        <v>28.15</v>
      </c>
      <c r="D573" s="5"/>
      <c r="E573" s="5"/>
      <c r="F573" s="21">
        <v>30.46</v>
      </c>
      <c r="G573" s="5">
        <v>3.5</v>
      </c>
      <c r="H573" s="24">
        <f t="shared" ref="H573" si="234">+F573*0.965</f>
        <v>29.393899999999999</v>
      </c>
      <c r="I573" s="27"/>
      <c r="J573" s="40">
        <f t="shared" ref="J573" si="235">+I573*H573</f>
        <v>0</v>
      </c>
    </row>
    <row r="574" spans="1:10" ht="24" customHeight="1">
      <c r="A574" s="37">
        <v>849695</v>
      </c>
      <c r="B574" s="9" t="s">
        <v>572</v>
      </c>
      <c r="C574" s="5">
        <v>18.77</v>
      </c>
      <c r="D574" s="5"/>
      <c r="E574" s="5"/>
      <c r="F574" s="21">
        <v>20.309999999999999</v>
      </c>
      <c r="G574" s="5">
        <v>3.5</v>
      </c>
      <c r="H574" s="24">
        <f t="shared" ref="H574" si="236">+F574*0.965</f>
        <v>19.599149999999998</v>
      </c>
      <c r="I574" s="27"/>
      <c r="J574" s="40">
        <f t="shared" ref="J574" si="237">+I574*H574</f>
        <v>0</v>
      </c>
    </row>
    <row r="575" spans="1:10" ht="24" customHeight="1">
      <c r="A575" s="37">
        <v>711186</v>
      </c>
      <c r="B575" s="9" t="s">
        <v>605</v>
      </c>
      <c r="C575" s="5">
        <v>6.25</v>
      </c>
      <c r="D575" s="5"/>
      <c r="E575" s="5"/>
      <c r="F575" s="21">
        <v>6.76</v>
      </c>
      <c r="G575" s="5">
        <v>3.5</v>
      </c>
      <c r="H575" s="24">
        <f t="shared" ref="H575:H577" si="238">+F575*0.965</f>
        <v>6.5233999999999996</v>
      </c>
      <c r="I575" s="27"/>
      <c r="J575" s="40">
        <f t="shared" ref="J575:J577" si="239">+I575*H575</f>
        <v>0</v>
      </c>
    </row>
    <row r="576" spans="1:10" ht="24" customHeight="1">
      <c r="A576" s="37">
        <v>7111856</v>
      </c>
      <c r="B576" s="9" t="s">
        <v>692</v>
      </c>
      <c r="C576" s="5">
        <v>5.05</v>
      </c>
      <c r="D576" s="5"/>
      <c r="E576" s="5"/>
      <c r="F576" s="21">
        <v>5.47</v>
      </c>
      <c r="G576" s="5">
        <v>3.5</v>
      </c>
      <c r="H576" s="24">
        <f t="shared" ref="H576" si="240">+F576*0.965</f>
        <v>5.2785499999999992</v>
      </c>
      <c r="I576" s="27"/>
      <c r="J576" s="40">
        <f t="shared" ref="J576" si="241">+I576*H576</f>
        <v>0</v>
      </c>
    </row>
    <row r="577" spans="1:10" ht="24" customHeight="1">
      <c r="A577" s="37">
        <v>711187</v>
      </c>
      <c r="B577" s="9" t="s">
        <v>606</v>
      </c>
      <c r="C577" s="5">
        <v>6.49</v>
      </c>
      <c r="D577" s="5"/>
      <c r="E577" s="5"/>
      <c r="F577" s="21">
        <v>7.02</v>
      </c>
      <c r="G577" s="5">
        <v>3.5</v>
      </c>
      <c r="H577" s="24">
        <f t="shared" si="238"/>
        <v>6.7742999999999993</v>
      </c>
      <c r="I577" s="27"/>
      <c r="J577" s="40">
        <f t="shared" si="239"/>
        <v>0</v>
      </c>
    </row>
    <row r="578" spans="1:10" ht="24" customHeight="1">
      <c r="A578" s="37">
        <v>661858</v>
      </c>
      <c r="B578" s="9" t="s">
        <v>513</v>
      </c>
      <c r="C578" s="5">
        <v>3.36</v>
      </c>
      <c r="D578" s="5"/>
      <c r="E578" s="5"/>
      <c r="F578" s="21">
        <v>3.63</v>
      </c>
      <c r="G578" s="5">
        <v>3.5</v>
      </c>
      <c r="H578" s="24">
        <f>+F578*0.965</f>
        <v>3.5029499999999998</v>
      </c>
      <c r="I578" s="27"/>
      <c r="J578" s="40">
        <f>+I578*H578</f>
        <v>0</v>
      </c>
    </row>
    <row r="579" spans="1:10" ht="24" hidden="1" customHeight="1">
      <c r="A579" s="37">
        <v>661872</v>
      </c>
      <c r="B579" s="9" t="s">
        <v>514</v>
      </c>
      <c r="C579" s="5">
        <v>6.32</v>
      </c>
      <c r="D579" s="5"/>
      <c r="E579" s="5"/>
      <c r="F579" s="21">
        <v>6.84</v>
      </c>
      <c r="G579" s="5">
        <v>3.5</v>
      </c>
      <c r="H579" s="24">
        <f t="shared" ref="H579:H600" si="242">+F579*0.965</f>
        <v>6.6006</v>
      </c>
      <c r="I579" s="27"/>
      <c r="J579" s="40">
        <f t="shared" ref="J579:J600" si="243">+I579*H579</f>
        <v>0</v>
      </c>
    </row>
    <row r="580" spans="1:10" ht="24" hidden="1" customHeight="1">
      <c r="A580" s="37">
        <v>661873</v>
      </c>
      <c r="B580" s="9" t="s">
        <v>515</v>
      </c>
      <c r="C580" s="5">
        <v>12.63</v>
      </c>
      <c r="D580" s="5"/>
      <c r="E580" s="5"/>
      <c r="F580" s="21">
        <v>13.67</v>
      </c>
      <c r="G580" s="5">
        <v>3.5</v>
      </c>
      <c r="H580" s="24">
        <f t="shared" si="242"/>
        <v>13.191549999999999</v>
      </c>
      <c r="I580" s="27"/>
      <c r="J580" s="40">
        <f t="shared" si="243"/>
        <v>0</v>
      </c>
    </row>
    <row r="581" spans="1:10" ht="24" customHeight="1">
      <c r="A581" s="37">
        <v>686410</v>
      </c>
      <c r="B581" s="9" t="s">
        <v>554</v>
      </c>
      <c r="C581" s="5">
        <v>6.14</v>
      </c>
      <c r="D581" s="5"/>
      <c r="E581" s="5"/>
      <c r="F581" s="21">
        <v>6.65</v>
      </c>
      <c r="G581" s="5">
        <v>3.5</v>
      </c>
      <c r="H581" s="24">
        <f t="shared" ref="H581:H588" si="244">+F581*0.965</f>
        <v>6.4172500000000001</v>
      </c>
      <c r="I581" s="27"/>
      <c r="J581" s="40">
        <f t="shared" ref="J581:J588" si="245">+I581*H581</f>
        <v>0</v>
      </c>
    </row>
    <row r="582" spans="1:10" ht="24" customHeight="1">
      <c r="A582" s="37">
        <v>686402</v>
      </c>
      <c r="B582" s="9" t="s">
        <v>559</v>
      </c>
      <c r="C582" s="5">
        <v>4.09</v>
      </c>
      <c r="D582" s="5"/>
      <c r="E582" s="5"/>
      <c r="F582" s="21">
        <v>4.43</v>
      </c>
      <c r="G582" s="5">
        <v>3.5</v>
      </c>
      <c r="H582" s="24">
        <f t="shared" si="244"/>
        <v>4.2749499999999996</v>
      </c>
      <c r="I582" s="27"/>
      <c r="J582" s="40">
        <f t="shared" si="245"/>
        <v>0</v>
      </c>
    </row>
    <row r="583" spans="1:10" ht="24" hidden="1" customHeight="1">
      <c r="A583" s="37">
        <v>654047</v>
      </c>
      <c r="B583" s="9" t="s">
        <v>556</v>
      </c>
      <c r="C583" s="5">
        <v>3.36</v>
      </c>
      <c r="D583" s="5"/>
      <c r="E583" s="5"/>
      <c r="F583" s="21">
        <v>3.63</v>
      </c>
      <c r="G583" s="5">
        <v>3.5</v>
      </c>
      <c r="H583" s="24">
        <f t="shared" si="244"/>
        <v>3.5029499999999998</v>
      </c>
      <c r="I583" s="27"/>
      <c r="J583" s="40">
        <f t="shared" si="245"/>
        <v>0</v>
      </c>
    </row>
    <row r="584" spans="1:10" ht="24" customHeight="1">
      <c r="A584" s="37">
        <v>654054</v>
      </c>
      <c r="B584" s="9" t="s">
        <v>563</v>
      </c>
      <c r="C584" s="5">
        <v>6.72</v>
      </c>
      <c r="D584" s="5"/>
      <c r="E584" s="5"/>
      <c r="F584" s="21">
        <v>7.27</v>
      </c>
      <c r="G584" s="5">
        <v>3.5</v>
      </c>
      <c r="H584" s="24">
        <f t="shared" ref="H584" si="246">+F584*0.965</f>
        <v>7.0155499999999993</v>
      </c>
      <c r="I584" s="27"/>
      <c r="J584" s="40">
        <f t="shared" ref="J584" si="247">+I584*H584</f>
        <v>0</v>
      </c>
    </row>
    <row r="585" spans="1:10" ht="24" customHeight="1">
      <c r="A585" s="37">
        <v>654062</v>
      </c>
      <c r="B585" s="9" t="s">
        <v>555</v>
      </c>
      <c r="C585" s="5">
        <v>13.43</v>
      </c>
      <c r="D585" s="5"/>
      <c r="E585" s="5"/>
      <c r="F585" s="21">
        <v>14.54</v>
      </c>
      <c r="G585" s="5">
        <v>3.5</v>
      </c>
      <c r="H585" s="24">
        <f t="shared" ref="H585" si="248">+F585*0.965</f>
        <v>14.031099999999999</v>
      </c>
      <c r="I585" s="27"/>
      <c r="J585" s="40">
        <f t="shared" ref="J585" si="249">+I585*H585</f>
        <v>0</v>
      </c>
    </row>
    <row r="586" spans="1:10" ht="24" customHeight="1">
      <c r="A586" s="37">
        <v>654080</v>
      </c>
      <c r="B586" s="9" t="s">
        <v>562</v>
      </c>
      <c r="C586" s="5">
        <v>6.7</v>
      </c>
      <c r="D586" s="5"/>
      <c r="E586" s="5"/>
      <c r="F586" s="21">
        <v>7.25</v>
      </c>
      <c r="G586" s="5">
        <v>3.5</v>
      </c>
      <c r="H586" s="24">
        <f t="shared" ref="H586" si="250">+F586*0.965</f>
        <v>6.9962499999999999</v>
      </c>
      <c r="I586" s="27"/>
      <c r="J586" s="40">
        <f t="shared" ref="J586" si="251">+I586*H586</f>
        <v>0</v>
      </c>
    </row>
    <row r="587" spans="1:10" ht="24" hidden="1" customHeight="1">
      <c r="A587" s="37">
        <v>663072</v>
      </c>
      <c r="B587" s="9" t="s">
        <v>557</v>
      </c>
      <c r="C587" s="5">
        <v>13.4</v>
      </c>
      <c r="D587" s="5"/>
      <c r="E587" s="5"/>
      <c r="F587" s="21">
        <v>14.5</v>
      </c>
      <c r="G587" s="5">
        <v>3.5</v>
      </c>
      <c r="H587" s="24">
        <f t="shared" si="244"/>
        <v>13.9925</v>
      </c>
      <c r="I587" s="27"/>
      <c r="J587" s="40">
        <f t="shared" si="245"/>
        <v>0</v>
      </c>
    </row>
    <row r="588" spans="1:10" ht="24" customHeight="1">
      <c r="A588" s="37">
        <v>663118</v>
      </c>
      <c r="B588" s="9" t="s">
        <v>558</v>
      </c>
      <c r="C588" s="5">
        <v>13.4</v>
      </c>
      <c r="D588" s="5"/>
      <c r="E588" s="5"/>
      <c r="F588" s="21">
        <v>14.5</v>
      </c>
      <c r="G588" s="5">
        <v>3.5</v>
      </c>
      <c r="H588" s="24">
        <f t="shared" si="244"/>
        <v>13.9925</v>
      </c>
      <c r="I588" s="27"/>
      <c r="J588" s="40">
        <f t="shared" si="245"/>
        <v>0</v>
      </c>
    </row>
    <row r="589" spans="1:10" ht="24" customHeight="1">
      <c r="A589" s="37">
        <v>661853</v>
      </c>
      <c r="B589" s="9" t="s">
        <v>795</v>
      </c>
      <c r="C589" s="5">
        <v>12.63</v>
      </c>
      <c r="D589" s="5"/>
      <c r="E589" s="5"/>
      <c r="F589" s="21">
        <v>13.67</v>
      </c>
      <c r="G589" s="5">
        <v>5</v>
      </c>
      <c r="H589" s="24">
        <f>+F589*0.95</f>
        <v>12.986499999999999</v>
      </c>
      <c r="I589" s="27"/>
      <c r="J589" s="40">
        <f>+I589*H589</f>
        <v>0</v>
      </c>
    </row>
    <row r="590" spans="1:10" ht="24" hidden="1" customHeight="1">
      <c r="A590" s="37">
        <v>703676</v>
      </c>
      <c r="B590" s="9" t="s">
        <v>731</v>
      </c>
      <c r="C590" s="5">
        <v>8.2799999999999994</v>
      </c>
      <c r="D590" s="5"/>
      <c r="E590" s="5">
        <f t="shared" ref="E590" si="252">+C590*0.995</f>
        <v>8.2385999999999999</v>
      </c>
      <c r="F590" s="21"/>
      <c r="G590" s="5"/>
      <c r="H590" s="24"/>
      <c r="I590" s="27"/>
      <c r="J590" s="40">
        <f>+I590*E590</f>
        <v>0</v>
      </c>
    </row>
    <row r="591" spans="1:10" ht="24" customHeight="1">
      <c r="A591" s="37">
        <v>724258</v>
      </c>
      <c r="B591" s="9" t="s">
        <v>818</v>
      </c>
      <c r="C591" s="5">
        <v>19.8</v>
      </c>
      <c r="D591" s="5"/>
      <c r="E591" s="5"/>
      <c r="F591" s="21">
        <v>21.3</v>
      </c>
      <c r="G591" s="5">
        <v>4</v>
      </c>
      <c r="H591" s="24">
        <f>+F591*0.96</f>
        <v>20.448</v>
      </c>
      <c r="I591" s="27"/>
      <c r="J591" s="40">
        <f>+I591*H591</f>
        <v>0</v>
      </c>
    </row>
    <row r="592" spans="1:10" ht="24" customHeight="1">
      <c r="A592" s="37">
        <v>724254</v>
      </c>
      <c r="B592" s="9" t="s">
        <v>850</v>
      </c>
      <c r="C592" s="5">
        <v>17</v>
      </c>
      <c r="D592" s="5"/>
      <c r="E592" s="5"/>
      <c r="F592" s="21">
        <v>18.399999999999999</v>
      </c>
      <c r="G592" s="5">
        <v>4</v>
      </c>
      <c r="H592" s="24">
        <f>+F592*0.96</f>
        <v>17.663999999999998</v>
      </c>
      <c r="I592" s="27"/>
      <c r="J592" s="40">
        <f>+I592*H592</f>
        <v>0</v>
      </c>
    </row>
    <row r="593" spans="1:10" ht="24" customHeight="1">
      <c r="A593" s="37">
        <v>719385</v>
      </c>
      <c r="B593" s="9" t="s">
        <v>676</v>
      </c>
      <c r="C593" s="5">
        <v>6.95</v>
      </c>
      <c r="D593" s="5"/>
      <c r="E593" s="5"/>
      <c r="F593" s="21">
        <v>7.52</v>
      </c>
      <c r="G593" s="5">
        <v>3.5</v>
      </c>
      <c r="H593" s="24">
        <f t="shared" ref="H593" si="253">+F593*0.965</f>
        <v>7.2567999999999993</v>
      </c>
      <c r="I593" s="27"/>
      <c r="J593" s="40">
        <f t="shared" ref="J593" si="254">+I593*H593</f>
        <v>0</v>
      </c>
    </row>
    <row r="594" spans="1:10" ht="24" customHeight="1">
      <c r="A594" s="37">
        <v>732438</v>
      </c>
      <c r="B594" s="9" t="s">
        <v>826</v>
      </c>
      <c r="C594" s="5">
        <v>6.95</v>
      </c>
      <c r="D594" s="5"/>
      <c r="E594" s="5"/>
      <c r="F594" s="21">
        <v>7.52</v>
      </c>
      <c r="G594" s="5">
        <v>3.5</v>
      </c>
      <c r="H594" s="24">
        <f t="shared" ref="H594" si="255">+F594*0.965</f>
        <v>7.2567999999999993</v>
      </c>
      <c r="I594" s="27"/>
      <c r="J594" s="40">
        <f t="shared" ref="J594" si="256">+I594*H594</f>
        <v>0</v>
      </c>
    </row>
    <row r="595" spans="1:10" ht="24" hidden="1" customHeight="1">
      <c r="A595" s="37">
        <v>961557</v>
      </c>
      <c r="B595" s="9" t="s">
        <v>681</v>
      </c>
      <c r="C595" s="5">
        <v>5.38</v>
      </c>
      <c r="D595" s="5"/>
      <c r="E595" s="5"/>
      <c r="F595" s="21">
        <v>5.83</v>
      </c>
      <c r="G595" s="5">
        <v>3.5</v>
      </c>
      <c r="H595" s="24">
        <f t="shared" ref="H595:H598" si="257">+F595*0.965</f>
        <v>5.6259499999999996</v>
      </c>
      <c r="I595" s="27"/>
      <c r="J595" s="40">
        <f t="shared" ref="J595:J598" si="258">+I595*H595</f>
        <v>0</v>
      </c>
    </row>
    <row r="596" spans="1:10" ht="24" customHeight="1">
      <c r="A596" s="37">
        <v>732439</v>
      </c>
      <c r="B596" s="9" t="s">
        <v>827</v>
      </c>
      <c r="C596" s="5">
        <v>10.51</v>
      </c>
      <c r="D596" s="5"/>
      <c r="E596" s="5">
        <v>0</v>
      </c>
      <c r="F596" s="21">
        <v>11.38</v>
      </c>
      <c r="G596" s="5">
        <v>3.5</v>
      </c>
      <c r="H596" s="24">
        <f t="shared" si="257"/>
        <v>10.9817</v>
      </c>
      <c r="I596" s="27"/>
      <c r="J596" s="40">
        <f t="shared" si="258"/>
        <v>0</v>
      </c>
    </row>
    <row r="597" spans="1:10" ht="24" customHeight="1">
      <c r="A597" s="37">
        <v>665753</v>
      </c>
      <c r="B597" s="9" t="s">
        <v>814</v>
      </c>
      <c r="C597" s="5">
        <v>5.03</v>
      </c>
      <c r="D597" s="5"/>
      <c r="E597" s="5"/>
      <c r="F597" s="21">
        <v>5.44</v>
      </c>
      <c r="G597" s="5">
        <v>3.5</v>
      </c>
      <c r="H597" s="24">
        <f t="shared" ref="H597" si="259">+F597*0.965</f>
        <v>5.2496</v>
      </c>
      <c r="I597" s="27"/>
      <c r="J597" s="40">
        <f t="shared" ref="J597" si="260">+I597*H597</f>
        <v>0</v>
      </c>
    </row>
    <row r="598" spans="1:10" ht="24" customHeight="1">
      <c r="A598" s="37">
        <v>665754</v>
      </c>
      <c r="B598" s="9" t="s">
        <v>697</v>
      </c>
      <c r="C598" s="5">
        <v>10.06</v>
      </c>
      <c r="D598" s="5"/>
      <c r="E598" s="5"/>
      <c r="F598" s="21">
        <v>10.89</v>
      </c>
      <c r="G598" s="5">
        <v>3.5</v>
      </c>
      <c r="H598" s="24">
        <f t="shared" si="257"/>
        <v>10.508850000000001</v>
      </c>
      <c r="I598" s="27"/>
      <c r="J598" s="40">
        <f t="shared" si="258"/>
        <v>0</v>
      </c>
    </row>
    <row r="599" spans="1:10" ht="24" customHeight="1">
      <c r="A599" s="37">
        <v>673907</v>
      </c>
      <c r="B599" s="9" t="s">
        <v>804</v>
      </c>
      <c r="C599" s="5">
        <v>30.14</v>
      </c>
      <c r="D599" s="5"/>
      <c r="E599" s="5"/>
      <c r="F599" s="21">
        <v>32.619999999999997</v>
      </c>
      <c r="G599" s="5">
        <v>3.5</v>
      </c>
      <c r="H599" s="24">
        <f t="shared" ref="H599" si="261">+F599*0.965</f>
        <v>31.478299999999997</v>
      </c>
      <c r="I599" s="27"/>
      <c r="J599" s="40">
        <f t="shared" ref="J599" si="262">+I599*H599</f>
        <v>0</v>
      </c>
    </row>
    <row r="600" spans="1:10" ht="24" customHeight="1">
      <c r="A600" s="37">
        <v>661531</v>
      </c>
      <c r="B600" s="9" t="s">
        <v>516</v>
      </c>
      <c r="C600" s="5">
        <v>21.63</v>
      </c>
      <c r="D600" s="5"/>
      <c r="E600" s="5"/>
      <c r="F600" s="21">
        <v>23.41</v>
      </c>
      <c r="G600" s="5">
        <v>3.5</v>
      </c>
      <c r="H600" s="24">
        <f t="shared" si="242"/>
        <v>22.59065</v>
      </c>
      <c r="I600" s="27"/>
      <c r="J600" s="40">
        <f t="shared" si="243"/>
        <v>0</v>
      </c>
    </row>
    <row r="601" spans="1:10" ht="24" customHeight="1">
      <c r="A601" s="337" t="s">
        <v>469</v>
      </c>
      <c r="B601" s="338"/>
      <c r="C601" s="338"/>
      <c r="D601" s="338"/>
      <c r="E601" s="338"/>
      <c r="F601" s="338"/>
      <c r="G601" s="338"/>
      <c r="H601" s="339"/>
      <c r="I601" s="27"/>
      <c r="J601" s="36"/>
    </row>
    <row r="602" spans="1:10" ht="24" customHeight="1">
      <c r="A602" s="37">
        <v>199001</v>
      </c>
      <c r="B602" s="9" t="s">
        <v>472</v>
      </c>
      <c r="C602" s="13">
        <v>0.2</v>
      </c>
      <c r="D602" s="5"/>
      <c r="E602" s="5">
        <f>+C602</f>
        <v>0.2</v>
      </c>
      <c r="F602" s="5"/>
      <c r="G602" s="5"/>
      <c r="H602" s="24"/>
      <c r="I602" s="27"/>
      <c r="J602" s="40">
        <f>+I602*E602</f>
        <v>0</v>
      </c>
    </row>
    <row r="603" spans="1:10" ht="24" customHeight="1">
      <c r="A603" s="37">
        <v>199002</v>
      </c>
      <c r="B603" s="9" t="s">
        <v>471</v>
      </c>
      <c r="C603" s="13">
        <v>1</v>
      </c>
      <c r="D603" s="5"/>
      <c r="E603" s="5">
        <f>+C603</f>
        <v>1</v>
      </c>
      <c r="F603" s="5"/>
      <c r="G603" s="5"/>
      <c r="H603" s="24"/>
      <c r="I603" s="27"/>
      <c r="J603" s="40">
        <f t="shared" ref="J603:J604" si="263">+I603*E603</f>
        <v>0</v>
      </c>
    </row>
    <row r="604" spans="1:10" ht="24" customHeight="1">
      <c r="A604" s="37">
        <v>199003</v>
      </c>
      <c r="B604" s="9" t="s">
        <v>470</v>
      </c>
      <c r="C604" s="13">
        <v>1.5</v>
      </c>
      <c r="D604" s="5"/>
      <c r="E604" s="5">
        <f>+C604</f>
        <v>1.5</v>
      </c>
      <c r="F604" s="5"/>
      <c r="G604" s="5"/>
      <c r="H604" s="24"/>
      <c r="I604" s="27"/>
      <c r="J604" s="40">
        <f t="shared" si="263"/>
        <v>0</v>
      </c>
    </row>
    <row r="605" spans="1:10" ht="24" customHeight="1">
      <c r="A605" s="337" t="s">
        <v>452</v>
      </c>
      <c r="B605" s="338"/>
      <c r="C605" s="338"/>
      <c r="D605" s="338"/>
      <c r="E605" s="338"/>
      <c r="F605" s="338"/>
      <c r="G605" s="338"/>
      <c r="H605" s="339"/>
      <c r="I605" s="27"/>
      <c r="J605" s="36"/>
    </row>
    <row r="606" spans="1:10" ht="24" customHeight="1">
      <c r="A606" s="37">
        <v>687015</v>
      </c>
      <c r="B606" s="9" t="s">
        <v>158</v>
      </c>
      <c r="C606" s="13">
        <v>5.05</v>
      </c>
      <c r="D606" s="5">
        <v>2</v>
      </c>
      <c r="E606" s="5">
        <f>C606*0.98</f>
        <v>4.9489999999999998</v>
      </c>
      <c r="F606" s="5"/>
      <c r="G606" s="5"/>
      <c r="H606" s="24"/>
      <c r="I606" s="27"/>
      <c r="J606" s="40">
        <f>+I606*E606</f>
        <v>0</v>
      </c>
    </row>
    <row r="607" spans="1:10" ht="24" customHeight="1">
      <c r="A607" s="37">
        <v>687016</v>
      </c>
      <c r="B607" s="9" t="s">
        <v>712</v>
      </c>
      <c r="C607" s="13">
        <v>5.38</v>
      </c>
      <c r="D607" s="5">
        <v>2</v>
      </c>
      <c r="E607" s="5">
        <f>C607*0.98</f>
        <v>5.2724000000000002</v>
      </c>
      <c r="F607" s="5"/>
      <c r="G607" s="5"/>
      <c r="H607" s="24"/>
      <c r="I607" s="27"/>
      <c r="J607" s="40">
        <f t="shared" ref="J607" si="264">+I607*E607</f>
        <v>0</v>
      </c>
    </row>
    <row r="608" spans="1:10" s="10" customFormat="1" ht="24" customHeight="1">
      <c r="A608" s="42"/>
      <c r="B608" s="32" t="s">
        <v>711</v>
      </c>
      <c r="C608" s="5"/>
      <c r="D608" s="6"/>
      <c r="E608" s="5">
        <f>+C608*0.9</f>
        <v>0</v>
      </c>
      <c r="F608" s="1"/>
      <c r="G608" s="1"/>
      <c r="H608" s="23"/>
      <c r="I608" s="30"/>
      <c r="J608" s="43">
        <f>+I608*E608</f>
        <v>0</v>
      </c>
    </row>
    <row r="609" spans="1:10" ht="24" customHeight="1">
      <c r="A609" s="37">
        <v>712829</v>
      </c>
      <c r="B609" s="9" t="s">
        <v>163</v>
      </c>
      <c r="C609" s="5">
        <v>8.56</v>
      </c>
      <c r="D609" s="5"/>
      <c r="E609" s="5"/>
      <c r="F609" s="21">
        <v>9.26</v>
      </c>
      <c r="G609" s="5">
        <v>3.5</v>
      </c>
      <c r="H609" s="24">
        <f>+F609*0.965</f>
        <v>8.9359000000000002</v>
      </c>
      <c r="I609" s="27"/>
      <c r="J609" s="40">
        <f t="shared" ref="J609:J610" si="265">+I609*H609</f>
        <v>0</v>
      </c>
    </row>
    <row r="610" spans="1:10" ht="24" customHeight="1">
      <c r="A610" s="37">
        <v>712833</v>
      </c>
      <c r="B610" s="9" t="s">
        <v>164</v>
      </c>
      <c r="C610" s="5">
        <v>17.12</v>
      </c>
      <c r="D610" s="5"/>
      <c r="E610" s="5"/>
      <c r="F610" s="21">
        <v>18.53</v>
      </c>
      <c r="G610" s="5">
        <v>3.5</v>
      </c>
      <c r="H610" s="24">
        <f>+F610*0.965</f>
        <v>17.881450000000001</v>
      </c>
      <c r="I610" s="27"/>
      <c r="J610" s="40">
        <f t="shared" si="265"/>
        <v>0</v>
      </c>
    </row>
    <row r="611" spans="1:10" ht="24" customHeight="1">
      <c r="A611" s="37">
        <v>682120</v>
      </c>
      <c r="B611" s="9" t="s">
        <v>165</v>
      </c>
      <c r="C611" s="13">
        <v>4.95</v>
      </c>
      <c r="D611" s="5"/>
      <c r="E611" s="5">
        <f>+C611</f>
        <v>4.95</v>
      </c>
      <c r="F611" s="5"/>
      <c r="G611" s="5"/>
      <c r="H611" s="24"/>
      <c r="I611" s="27"/>
      <c r="J611" s="40">
        <f>+I611*E611</f>
        <v>0</v>
      </c>
    </row>
    <row r="612" spans="1:10" ht="24" customHeight="1">
      <c r="A612" s="37">
        <v>662084</v>
      </c>
      <c r="B612" s="9" t="s">
        <v>278</v>
      </c>
      <c r="C612" s="5">
        <v>38.64</v>
      </c>
      <c r="D612" s="5"/>
      <c r="E612" s="5"/>
      <c r="F612" s="21">
        <v>41.82</v>
      </c>
      <c r="G612" s="5">
        <v>3.5</v>
      </c>
      <c r="H612" s="24">
        <f t="shared" ref="H612:H621" si="266">+F612*0.965</f>
        <v>40.356299999999997</v>
      </c>
      <c r="I612" s="27"/>
      <c r="J612" s="40">
        <f>+I612*H612</f>
        <v>0</v>
      </c>
    </row>
    <row r="613" spans="1:10" ht="24" customHeight="1">
      <c r="A613" s="37">
        <v>662085</v>
      </c>
      <c r="B613" s="9" t="s">
        <v>279</v>
      </c>
      <c r="C613" s="5">
        <v>38.64</v>
      </c>
      <c r="D613" s="5"/>
      <c r="E613" s="5"/>
      <c r="F613" s="21">
        <v>41.82</v>
      </c>
      <c r="G613" s="5">
        <v>3.5</v>
      </c>
      <c r="H613" s="24">
        <f t="shared" si="266"/>
        <v>40.356299999999997</v>
      </c>
      <c r="I613" s="27"/>
      <c r="J613" s="40">
        <f t="shared" ref="J613:J620" si="267">+I613*H613</f>
        <v>0</v>
      </c>
    </row>
    <row r="614" spans="1:10" ht="24" customHeight="1">
      <c r="A614" s="37">
        <v>662087</v>
      </c>
      <c r="B614" s="9" t="s">
        <v>389</v>
      </c>
      <c r="C614" s="5">
        <v>19.989999999999998</v>
      </c>
      <c r="D614" s="5"/>
      <c r="E614" s="5"/>
      <c r="F614" s="21">
        <v>21.64</v>
      </c>
      <c r="G614" s="5">
        <v>3.5</v>
      </c>
      <c r="H614" s="24">
        <f t="shared" ref="H614" si="268">+F614*0.965</f>
        <v>20.8826</v>
      </c>
      <c r="I614" s="27"/>
      <c r="J614" s="40">
        <f t="shared" ref="J614" si="269">+I614*H614</f>
        <v>0</v>
      </c>
    </row>
    <row r="615" spans="1:10" ht="24" customHeight="1">
      <c r="A615" s="37">
        <v>662086</v>
      </c>
      <c r="B615" s="9" t="s">
        <v>550</v>
      </c>
      <c r="C615" s="5">
        <v>12.5</v>
      </c>
      <c r="D615" s="5"/>
      <c r="E615" s="5"/>
      <c r="F615" s="21">
        <v>13.53</v>
      </c>
      <c r="G615" s="5">
        <v>3.5</v>
      </c>
      <c r="H615" s="24">
        <f t="shared" ref="H615" si="270">+F615*0.965</f>
        <v>13.056449999999998</v>
      </c>
      <c r="I615" s="27"/>
      <c r="J615" s="40">
        <f t="shared" ref="J615" si="271">+I615*H615</f>
        <v>0</v>
      </c>
    </row>
    <row r="616" spans="1:10" ht="24" customHeight="1">
      <c r="A616" s="37">
        <v>672842</v>
      </c>
      <c r="B616" s="9" t="s">
        <v>280</v>
      </c>
      <c r="C616" s="5">
        <v>3.43</v>
      </c>
      <c r="D616" s="5"/>
      <c r="E616" s="5"/>
      <c r="F616" s="21">
        <v>3.71</v>
      </c>
      <c r="G616" s="5">
        <v>3.5</v>
      </c>
      <c r="H616" s="24">
        <f t="shared" si="266"/>
        <v>3.5801499999999997</v>
      </c>
      <c r="I616" s="27"/>
      <c r="J616" s="40">
        <f t="shared" si="267"/>
        <v>0</v>
      </c>
    </row>
    <row r="617" spans="1:10" ht="24" customHeight="1">
      <c r="A617" s="37">
        <v>672826</v>
      </c>
      <c r="B617" s="9" t="s">
        <v>281</v>
      </c>
      <c r="C617" s="5">
        <v>6.85</v>
      </c>
      <c r="D617" s="5"/>
      <c r="E617" s="5"/>
      <c r="F617" s="21">
        <v>7.41</v>
      </c>
      <c r="G617" s="5">
        <v>3.5</v>
      </c>
      <c r="H617" s="24">
        <f t="shared" si="266"/>
        <v>7.1506499999999997</v>
      </c>
      <c r="I617" s="27"/>
      <c r="J617" s="40">
        <f t="shared" si="267"/>
        <v>0</v>
      </c>
    </row>
    <row r="618" spans="1:10" ht="24" customHeight="1">
      <c r="A618" s="37">
        <v>672827</v>
      </c>
      <c r="B618" s="9" t="s">
        <v>282</v>
      </c>
      <c r="C618" s="5">
        <v>13.71</v>
      </c>
      <c r="D618" s="5"/>
      <c r="E618" s="5"/>
      <c r="F618" s="21">
        <v>14.84</v>
      </c>
      <c r="G618" s="5">
        <v>3.5</v>
      </c>
      <c r="H618" s="24">
        <f t="shared" si="266"/>
        <v>14.320599999999999</v>
      </c>
      <c r="I618" s="27"/>
      <c r="J618" s="40">
        <f t="shared" si="267"/>
        <v>0</v>
      </c>
    </row>
    <row r="619" spans="1:10" ht="24" customHeight="1">
      <c r="A619" s="37">
        <v>844696</v>
      </c>
      <c r="B619" s="9" t="s">
        <v>283</v>
      </c>
      <c r="C619" s="5">
        <v>59</v>
      </c>
      <c r="D619" s="5"/>
      <c r="E619" s="5"/>
      <c r="F619" s="21">
        <v>63.85</v>
      </c>
      <c r="G619" s="5">
        <v>3.5</v>
      </c>
      <c r="H619" s="24">
        <f t="shared" si="266"/>
        <v>61.615249999999996</v>
      </c>
      <c r="I619" s="27"/>
      <c r="J619" s="40">
        <f t="shared" si="267"/>
        <v>0</v>
      </c>
    </row>
    <row r="620" spans="1:10" ht="24" customHeight="1">
      <c r="A620" s="37">
        <v>974337</v>
      </c>
      <c r="B620" s="9" t="s">
        <v>284</v>
      </c>
      <c r="C620" s="5">
        <v>4.45</v>
      </c>
      <c r="D620" s="5"/>
      <c r="E620" s="5"/>
      <c r="F620" s="21">
        <v>4.82</v>
      </c>
      <c r="G620" s="5">
        <v>3.5</v>
      </c>
      <c r="H620" s="24">
        <f t="shared" si="266"/>
        <v>4.6513</v>
      </c>
      <c r="I620" s="27"/>
      <c r="J620" s="40">
        <f t="shared" si="267"/>
        <v>0</v>
      </c>
    </row>
    <row r="621" spans="1:10" ht="24" customHeight="1">
      <c r="A621" s="37">
        <v>864975</v>
      </c>
      <c r="B621" s="9" t="s">
        <v>357</v>
      </c>
      <c r="C621" s="5">
        <v>11.7</v>
      </c>
      <c r="D621" s="5"/>
      <c r="E621" s="5"/>
      <c r="F621" s="21">
        <v>12.66</v>
      </c>
      <c r="G621" s="5">
        <v>3.5</v>
      </c>
      <c r="H621" s="24">
        <f t="shared" si="266"/>
        <v>12.216899999999999</v>
      </c>
      <c r="I621" s="27"/>
      <c r="J621" s="40">
        <f t="shared" ref="J621" si="272">+I621*H621</f>
        <v>0</v>
      </c>
    </row>
    <row r="622" spans="1:10" ht="24" customHeight="1">
      <c r="A622" s="337" t="s">
        <v>155</v>
      </c>
      <c r="B622" s="338"/>
      <c r="C622" s="338"/>
      <c r="D622" s="338"/>
      <c r="E622" s="338"/>
      <c r="F622" s="338"/>
      <c r="G622" s="338"/>
      <c r="H622" s="339"/>
      <c r="I622" s="27"/>
      <c r="J622" s="36"/>
    </row>
    <row r="623" spans="1:10" ht="24" customHeight="1">
      <c r="A623" s="46">
        <v>661250</v>
      </c>
      <c r="B623" s="8" t="s">
        <v>316</v>
      </c>
      <c r="C623" s="13">
        <v>3.78</v>
      </c>
      <c r="D623" s="5">
        <v>15</v>
      </c>
      <c r="E623" s="5">
        <f>+C623*0.85</f>
        <v>3.2129999999999996</v>
      </c>
      <c r="F623" s="5"/>
      <c r="G623" s="5"/>
      <c r="H623" s="24"/>
      <c r="I623" s="27"/>
      <c r="J623" s="40">
        <f t="shared" ref="J623:J628" si="273">+I623*E623</f>
        <v>0</v>
      </c>
    </row>
    <row r="624" spans="1:10" ht="24" customHeight="1">
      <c r="A624" s="46"/>
      <c r="B624" s="8" t="s">
        <v>318</v>
      </c>
      <c r="C624" s="13">
        <v>3.78</v>
      </c>
      <c r="D624" s="5">
        <v>17</v>
      </c>
      <c r="E624" s="5">
        <f>+C624*0.83</f>
        <v>3.1373999999999995</v>
      </c>
      <c r="F624" s="5"/>
      <c r="G624" s="5"/>
      <c r="H624" s="24"/>
      <c r="I624" s="27"/>
      <c r="J624" s="40">
        <f t="shared" si="273"/>
        <v>0</v>
      </c>
    </row>
    <row r="625" spans="1:10" ht="24" customHeight="1">
      <c r="A625" s="46">
        <v>787341</v>
      </c>
      <c r="B625" s="8" t="s">
        <v>317</v>
      </c>
      <c r="C625" s="13">
        <v>3.78</v>
      </c>
      <c r="D625" s="5">
        <v>20</v>
      </c>
      <c r="E625" s="5">
        <f>+C625*0.8</f>
        <v>3.024</v>
      </c>
      <c r="F625" s="5"/>
      <c r="G625" s="5"/>
      <c r="H625" s="24"/>
      <c r="I625" s="27"/>
      <c r="J625" s="40">
        <f t="shared" si="273"/>
        <v>0</v>
      </c>
    </row>
    <row r="626" spans="1:10" ht="24" customHeight="1">
      <c r="A626" s="46">
        <v>661251</v>
      </c>
      <c r="B626" s="8" t="s">
        <v>349</v>
      </c>
      <c r="C626" s="13">
        <v>7.65</v>
      </c>
      <c r="D626" s="5">
        <v>20</v>
      </c>
      <c r="E626" s="5">
        <f>+C626*0.8</f>
        <v>6.120000000000001</v>
      </c>
      <c r="F626" s="5"/>
      <c r="G626" s="5"/>
      <c r="H626" s="24"/>
      <c r="I626" s="27"/>
      <c r="J626" s="40">
        <f t="shared" si="273"/>
        <v>0</v>
      </c>
    </row>
    <row r="627" spans="1:10" ht="24" customHeight="1">
      <c r="A627" s="46" t="s">
        <v>803</v>
      </c>
      <c r="B627" s="8" t="s">
        <v>802</v>
      </c>
      <c r="C627" s="13">
        <v>3.16</v>
      </c>
      <c r="D627" s="5"/>
      <c r="E627" s="5">
        <f>+C627</f>
        <v>3.16</v>
      </c>
      <c r="F627" s="5"/>
      <c r="G627" s="5"/>
      <c r="H627" s="24"/>
      <c r="I627" s="27"/>
      <c r="J627" s="40">
        <f t="shared" si="273"/>
        <v>0</v>
      </c>
    </row>
    <row r="628" spans="1:10" ht="24" customHeight="1">
      <c r="A628" s="46">
        <v>791996</v>
      </c>
      <c r="B628" s="8" t="s">
        <v>768</v>
      </c>
      <c r="C628" s="13">
        <v>6.32</v>
      </c>
      <c r="D628" s="5"/>
      <c r="E628" s="5">
        <f>+C628</f>
        <v>6.32</v>
      </c>
      <c r="F628" s="5"/>
      <c r="G628" s="5"/>
      <c r="H628" s="24"/>
      <c r="I628" s="27"/>
      <c r="J628" s="40">
        <f t="shared" si="273"/>
        <v>0</v>
      </c>
    </row>
    <row r="629" spans="1:10" ht="24" customHeight="1">
      <c r="A629" s="46">
        <v>866103</v>
      </c>
      <c r="B629" s="8" t="s">
        <v>769</v>
      </c>
      <c r="C629" s="13">
        <v>5.07</v>
      </c>
      <c r="D629" s="5">
        <v>5</v>
      </c>
      <c r="E629" s="5">
        <f>+C629*0.95</f>
        <v>4.8165000000000004</v>
      </c>
      <c r="F629" s="5"/>
      <c r="G629" s="5"/>
      <c r="H629" s="24"/>
      <c r="I629" s="27"/>
      <c r="J629" s="40"/>
    </row>
    <row r="630" spans="1:10" ht="24" customHeight="1">
      <c r="A630" s="46">
        <v>682617</v>
      </c>
      <c r="B630" s="8" t="s">
        <v>811</v>
      </c>
      <c r="C630" s="13">
        <v>4.82</v>
      </c>
      <c r="D630" s="5">
        <v>5</v>
      </c>
      <c r="E630" s="5">
        <f>+C630*0.95</f>
        <v>4.5789999999999997</v>
      </c>
      <c r="F630" s="5"/>
      <c r="G630" s="5"/>
      <c r="H630" s="24"/>
      <c r="I630" s="27"/>
      <c r="J630" s="40"/>
    </row>
    <row r="631" spans="1:10" ht="24" customHeight="1">
      <c r="A631" s="46">
        <v>663837</v>
      </c>
      <c r="B631" s="8" t="s">
        <v>785</v>
      </c>
      <c r="C631" s="13">
        <v>10.199999999999999</v>
      </c>
      <c r="D631" s="5"/>
      <c r="E631" s="5">
        <f>+C631</f>
        <v>10.199999999999999</v>
      </c>
      <c r="F631" s="5"/>
      <c r="G631" s="5"/>
      <c r="H631" s="24"/>
      <c r="I631" s="27"/>
      <c r="J631" s="40">
        <f t="shared" ref="J631:J632" si="274">+I631*E631</f>
        <v>0</v>
      </c>
    </row>
    <row r="632" spans="1:10" ht="24" customHeight="1">
      <c r="A632" s="46">
        <v>696954</v>
      </c>
      <c r="B632" s="8" t="s">
        <v>444</v>
      </c>
      <c r="C632" s="13">
        <v>10.199999999999999</v>
      </c>
      <c r="D632" s="5"/>
      <c r="E632" s="5">
        <f>+C632</f>
        <v>10.199999999999999</v>
      </c>
      <c r="F632" s="5"/>
      <c r="G632" s="5"/>
      <c r="H632" s="24"/>
      <c r="I632" s="27"/>
      <c r="J632" s="40">
        <f t="shared" si="274"/>
        <v>0</v>
      </c>
    </row>
    <row r="633" spans="1:10" ht="24" customHeight="1">
      <c r="A633" s="337" t="s">
        <v>319</v>
      </c>
      <c r="B633" s="338"/>
      <c r="C633" s="338"/>
      <c r="D633" s="338"/>
      <c r="E633" s="338"/>
      <c r="F633" s="338"/>
      <c r="G633" s="338"/>
      <c r="H633" s="339"/>
      <c r="I633" s="27"/>
      <c r="J633" s="36"/>
    </row>
    <row r="634" spans="1:10" ht="24" customHeight="1">
      <c r="A634" s="46">
        <v>395756</v>
      </c>
      <c r="B634" s="8" t="s">
        <v>320</v>
      </c>
      <c r="C634" s="13">
        <v>18.11</v>
      </c>
      <c r="D634" s="5">
        <v>8</v>
      </c>
      <c r="E634" s="5">
        <f>+C634*0.92</f>
        <v>16.661200000000001</v>
      </c>
      <c r="F634" s="5"/>
      <c r="G634" s="5"/>
      <c r="H634" s="24"/>
      <c r="I634" s="27"/>
      <c r="J634" s="40">
        <f>+I634*E634</f>
        <v>0</v>
      </c>
    </row>
    <row r="635" spans="1:10" ht="24" customHeight="1">
      <c r="A635" s="46">
        <v>248401</v>
      </c>
      <c r="B635" s="8" t="s">
        <v>600</v>
      </c>
      <c r="C635" s="13">
        <v>17.75</v>
      </c>
      <c r="D635" s="5">
        <v>8</v>
      </c>
      <c r="E635" s="5">
        <f>+C635*0.92</f>
        <v>16.330000000000002</v>
      </c>
      <c r="F635" s="5"/>
      <c r="G635" s="5"/>
      <c r="H635" s="24"/>
      <c r="I635" s="27"/>
      <c r="J635" s="40">
        <f t="shared" ref="J635" si="275">+I635*E635</f>
        <v>0</v>
      </c>
    </row>
    <row r="636" spans="1:10" s="10" customFormat="1" ht="24" customHeight="1">
      <c r="A636" s="42"/>
      <c r="B636" s="32" t="s">
        <v>601</v>
      </c>
      <c r="C636" s="5">
        <v>17.75</v>
      </c>
      <c r="D636" s="6">
        <v>10</v>
      </c>
      <c r="E636" s="5">
        <f>+C636*0.9</f>
        <v>15.975</v>
      </c>
      <c r="F636" s="1"/>
      <c r="G636" s="1"/>
      <c r="H636" s="23"/>
      <c r="I636" s="30"/>
      <c r="J636" s="43">
        <f>+I636*E636</f>
        <v>0</v>
      </c>
    </row>
    <row r="637" spans="1:10" ht="24" customHeight="1">
      <c r="A637" s="337" t="s">
        <v>757</v>
      </c>
      <c r="B637" s="338"/>
      <c r="C637" s="338"/>
      <c r="D637" s="338"/>
      <c r="E637" s="338"/>
      <c r="F637" s="338"/>
      <c r="G637" s="338"/>
      <c r="H637" s="339"/>
      <c r="I637" s="26"/>
      <c r="J637" s="36"/>
    </row>
    <row r="638" spans="1:10" ht="24" hidden="1" customHeight="1">
      <c r="A638" s="37">
        <v>745281</v>
      </c>
      <c r="B638" s="9" t="s">
        <v>273</v>
      </c>
      <c r="C638" s="5">
        <v>15.9</v>
      </c>
      <c r="D638" s="5"/>
      <c r="E638" s="5"/>
      <c r="F638" s="5">
        <v>17.21</v>
      </c>
      <c r="G638" s="5">
        <v>3.5</v>
      </c>
      <c r="H638" s="24">
        <f t="shared" ref="H638:H649" si="276">+F638*0.965</f>
        <v>16.60765</v>
      </c>
      <c r="I638" s="27"/>
      <c r="J638" s="40">
        <f t="shared" ref="J638:J649" si="277">+I638*H638</f>
        <v>0</v>
      </c>
    </row>
    <row r="639" spans="1:10" ht="24" customHeight="1">
      <c r="A639" s="37">
        <v>660878</v>
      </c>
      <c r="B639" s="9" t="s">
        <v>758</v>
      </c>
      <c r="C639" s="5">
        <v>9.14</v>
      </c>
      <c r="D639" s="5"/>
      <c r="E639" s="5"/>
      <c r="F639" s="21">
        <v>9.89</v>
      </c>
      <c r="G639" s="5">
        <v>3.5</v>
      </c>
      <c r="H639" s="24">
        <f t="shared" ref="H639:H643" si="278">+F639*0.965</f>
        <v>9.5438500000000008</v>
      </c>
      <c r="I639" s="27"/>
      <c r="J639" s="40">
        <f t="shared" ref="J639:J643" si="279">+I639*H639</f>
        <v>0</v>
      </c>
    </row>
    <row r="640" spans="1:10" ht="24" customHeight="1">
      <c r="A640" s="37">
        <v>674374</v>
      </c>
      <c r="B640" s="9" t="s">
        <v>759</v>
      </c>
      <c r="C640" s="5">
        <v>14.25</v>
      </c>
      <c r="D640" s="5"/>
      <c r="E640" s="5"/>
      <c r="F640" s="21">
        <v>15.42</v>
      </c>
      <c r="G640" s="5">
        <v>3.5</v>
      </c>
      <c r="H640" s="24">
        <f t="shared" si="278"/>
        <v>14.8803</v>
      </c>
      <c r="I640" s="27"/>
      <c r="J640" s="40">
        <f t="shared" si="279"/>
        <v>0</v>
      </c>
    </row>
    <row r="641" spans="1:10" ht="24" hidden="1" customHeight="1">
      <c r="A641" s="37">
        <v>719044</v>
      </c>
      <c r="B641" s="9" t="s">
        <v>760</v>
      </c>
      <c r="C641" s="5">
        <v>17</v>
      </c>
      <c r="D641" s="5"/>
      <c r="E641" s="5"/>
      <c r="F641" s="5">
        <v>18.399999999999999</v>
      </c>
      <c r="G641" s="5">
        <v>3.5</v>
      </c>
      <c r="H641" s="24">
        <f t="shared" si="278"/>
        <v>17.755999999999997</v>
      </c>
      <c r="I641" s="27"/>
      <c r="J641" s="40">
        <f t="shared" si="279"/>
        <v>0</v>
      </c>
    </row>
    <row r="642" spans="1:10" ht="24" hidden="1" customHeight="1">
      <c r="A642" s="37">
        <v>662082</v>
      </c>
      <c r="B642" s="9" t="s">
        <v>761</v>
      </c>
      <c r="C642" s="5">
        <v>38.64</v>
      </c>
      <c r="D642" s="5"/>
      <c r="E642" s="5"/>
      <c r="F642" s="5">
        <v>41.82</v>
      </c>
      <c r="G642" s="5">
        <v>3.5</v>
      </c>
      <c r="H642" s="24">
        <f t="shared" si="278"/>
        <v>40.356299999999997</v>
      </c>
      <c r="I642" s="27"/>
      <c r="J642" s="40">
        <f t="shared" si="279"/>
        <v>0</v>
      </c>
    </row>
    <row r="643" spans="1:10" ht="24" hidden="1" customHeight="1">
      <c r="A643" s="37">
        <v>697422</v>
      </c>
      <c r="B643" s="9" t="s">
        <v>762</v>
      </c>
      <c r="C643" s="5">
        <v>9.08</v>
      </c>
      <c r="D643" s="5"/>
      <c r="E643" s="5"/>
      <c r="F643" s="5">
        <v>9.83</v>
      </c>
      <c r="G643" s="5">
        <v>3.5</v>
      </c>
      <c r="H643" s="24">
        <f t="shared" si="278"/>
        <v>9.485949999999999</v>
      </c>
      <c r="I643" s="27"/>
      <c r="J643" s="40">
        <f t="shared" si="279"/>
        <v>0</v>
      </c>
    </row>
    <row r="644" spans="1:10" ht="24" customHeight="1">
      <c r="A644" s="37">
        <v>799486</v>
      </c>
      <c r="B644" s="9" t="s">
        <v>651</v>
      </c>
      <c r="C644" s="13">
        <v>7.47</v>
      </c>
      <c r="D644" s="5"/>
      <c r="E644" s="5">
        <f>+C644</f>
        <v>7.47</v>
      </c>
      <c r="F644" s="5"/>
      <c r="G644" s="5"/>
      <c r="H644" s="24"/>
      <c r="I644" s="27"/>
      <c r="J644" s="40">
        <f>+I644*E644</f>
        <v>0</v>
      </c>
    </row>
    <row r="645" spans="1:10" ht="24" customHeight="1">
      <c r="A645" s="37">
        <v>697894</v>
      </c>
      <c r="B645" s="9" t="s">
        <v>713</v>
      </c>
      <c r="C645" s="5">
        <v>17</v>
      </c>
      <c r="D645" s="5"/>
      <c r="E645" s="5"/>
      <c r="F645" s="21">
        <v>18.399999999999999</v>
      </c>
      <c r="G645" s="5">
        <v>3.5</v>
      </c>
      <c r="H645" s="24">
        <f t="shared" ref="H645" si="280">+F645*0.965</f>
        <v>17.755999999999997</v>
      </c>
      <c r="I645" s="27"/>
      <c r="J645" s="40">
        <f t="shared" ref="J645" si="281">+I645*H645</f>
        <v>0</v>
      </c>
    </row>
    <row r="646" spans="1:10" ht="24" customHeight="1">
      <c r="A646" s="37">
        <v>847491</v>
      </c>
      <c r="B646" s="9" t="s">
        <v>824</v>
      </c>
      <c r="C646" s="13">
        <v>43.8</v>
      </c>
      <c r="D646" s="5"/>
      <c r="E646" s="5">
        <f>+C646</f>
        <v>43.8</v>
      </c>
      <c r="F646" s="5"/>
      <c r="G646" s="5"/>
      <c r="H646" s="24"/>
      <c r="I646" s="27"/>
      <c r="J646" s="40">
        <f>+I646*E646</f>
        <v>0</v>
      </c>
    </row>
    <row r="647" spans="1:10" ht="24" customHeight="1">
      <c r="A647" s="37">
        <v>754754</v>
      </c>
      <c r="B647" s="9" t="s">
        <v>825</v>
      </c>
      <c r="C647" s="5">
        <v>9.42</v>
      </c>
      <c r="D647" s="5"/>
      <c r="E647" s="5"/>
      <c r="F647" s="21">
        <v>10.19</v>
      </c>
      <c r="G647" s="5">
        <v>5</v>
      </c>
      <c r="H647" s="24">
        <f>+F647*0.95</f>
        <v>9.6804999999999986</v>
      </c>
      <c r="I647" s="27"/>
      <c r="J647" s="40">
        <f t="shared" ref="J647" si="282">+I647*H647</f>
        <v>0</v>
      </c>
    </row>
    <row r="648" spans="1:10" ht="24" customHeight="1">
      <c r="A648" s="37">
        <v>659698</v>
      </c>
      <c r="B648" s="9" t="s">
        <v>409</v>
      </c>
      <c r="C648" s="5">
        <v>23.01</v>
      </c>
      <c r="D648" s="5"/>
      <c r="E648" s="5"/>
      <c r="F648" s="21">
        <v>24.9</v>
      </c>
      <c r="G648" s="5">
        <v>3.5</v>
      </c>
      <c r="H648" s="24">
        <f t="shared" ref="H648" si="283">+F648*0.965</f>
        <v>24.028499999999998</v>
      </c>
      <c r="I648" s="27"/>
      <c r="J648" s="40">
        <f t="shared" ref="J648" si="284">+I648*H648</f>
        <v>0</v>
      </c>
    </row>
    <row r="649" spans="1:10" ht="24" hidden="1" customHeight="1">
      <c r="A649" s="37">
        <v>860213</v>
      </c>
      <c r="B649" s="9" t="s">
        <v>277</v>
      </c>
      <c r="C649" s="5">
        <v>10.220000000000001</v>
      </c>
      <c r="D649" s="5"/>
      <c r="E649" s="5"/>
      <c r="F649" s="5">
        <v>11.06</v>
      </c>
      <c r="G649" s="5">
        <v>3.5</v>
      </c>
      <c r="H649" s="24">
        <f t="shared" si="276"/>
        <v>10.6729</v>
      </c>
      <c r="I649" s="27"/>
      <c r="J649" s="40">
        <f t="shared" si="277"/>
        <v>0</v>
      </c>
    </row>
    <row r="650" spans="1:10" ht="24" customHeight="1">
      <c r="A650" s="337" t="s">
        <v>79</v>
      </c>
      <c r="B650" s="338"/>
      <c r="C650" s="338"/>
      <c r="D650" s="338"/>
      <c r="E650" s="338"/>
      <c r="F650" s="338"/>
      <c r="G650" s="338"/>
      <c r="H650" s="339"/>
      <c r="I650" s="26"/>
      <c r="J650" s="36"/>
    </row>
    <row r="651" spans="1:10" ht="24" customHeight="1">
      <c r="A651" s="37">
        <v>651368</v>
      </c>
      <c r="B651" s="4" t="s">
        <v>626</v>
      </c>
      <c r="C651" s="13">
        <v>2.56</v>
      </c>
      <c r="D651" s="5"/>
      <c r="E651" s="5">
        <f>+C651</f>
        <v>2.56</v>
      </c>
      <c r="F651" s="5"/>
      <c r="G651" s="5"/>
      <c r="H651" s="24"/>
      <c r="I651" s="27"/>
      <c r="J651" s="38">
        <f>+I651*E651</f>
        <v>0</v>
      </c>
    </row>
    <row r="652" spans="1:10" ht="24" hidden="1" customHeight="1">
      <c r="A652" s="37">
        <v>681957</v>
      </c>
      <c r="B652" s="4" t="s">
        <v>627</v>
      </c>
      <c r="C652" s="13">
        <v>2.56</v>
      </c>
      <c r="D652" s="5"/>
      <c r="E652" s="5">
        <f>+C652</f>
        <v>2.56</v>
      </c>
      <c r="F652" s="5"/>
      <c r="G652" s="5"/>
      <c r="H652" s="24"/>
      <c r="I652" s="27"/>
      <c r="J652" s="38">
        <f t="shared" ref="J652" si="285">+I652*E652</f>
        <v>0</v>
      </c>
    </row>
    <row r="653" spans="1:10" ht="24" customHeight="1">
      <c r="A653" s="37">
        <v>673822</v>
      </c>
      <c r="B653" s="4" t="s">
        <v>787</v>
      </c>
      <c r="C653" s="13">
        <v>4.63</v>
      </c>
      <c r="D653" s="5">
        <v>10</v>
      </c>
      <c r="E653" s="5">
        <f>+C653*0.9</f>
        <v>4.1669999999999998</v>
      </c>
      <c r="F653" s="5"/>
      <c r="G653" s="5"/>
      <c r="H653" s="24"/>
      <c r="I653" s="27"/>
      <c r="J653" s="38">
        <f t="shared" ref="J653" si="286">+I653*E653</f>
        <v>0</v>
      </c>
    </row>
    <row r="654" spans="1:10" ht="24" customHeight="1">
      <c r="A654" s="37">
        <v>662711</v>
      </c>
      <c r="B654" s="4" t="s">
        <v>226</v>
      </c>
      <c r="C654" s="5">
        <v>49.5</v>
      </c>
      <c r="D654" s="5"/>
      <c r="E654" s="5"/>
      <c r="F654" s="21">
        <v>53.57</v>
      </c>
      <c r="G654" s="5">
        <v>3.5</v>
      </c>
      <c r="H654" s="24">
        <f t="shared" ref="H654:H655" si="287">+F654*0.965</f>
        <v>51.695050000000002</v>
      </c>
      <c r="I654" s="27"/>
      <c r="J654" s="38">
        <f t="shared" ref="J654:J656" si="288">+I654*H654</f>
        <v>0</v>
      </c>
    </row>
    <row r="655" spans="1:10" ht="24" customHeight="1">
      <c r="A655" s="37">
        <v>662712</v>
      </c>
      <c r="B655" s="4" t="s">
        <v>227</v>
      </c>
      <c r="C655" s="5">
        <v>49.5</v>
      </c>
      <c r="D655" s="5"/>
      <c r="E655" s="5"/>
      <c r="F655" s="21">
        <v>53.57</v>
      </c>
      <c r="G655" s="5">
        <v>3.5</v>
      </c>
      <c r="H655" s="24">
        <f t="shared" si="287"/>
        <v>51.695050000000002</v>
      </c>
      <c r="I655" s="27"/>
      <c r="J655" s="38">
        <f t="shared" si="288"/>
        <v>0</v>
      </c>
    </row>
    <row r="656" spans="1:10" ht="24" customHeight="1">
      <c r="A656" s="37">
        <v>662713</v>
      </c>
      <c r="B656" s="4" t="s">
        <v>314</v>
      </c>
      <c r="C656" s="5">
        <v>49.5</v>
      </c>
      <c r="D656" s="5"/>
      <c r="E656" s="5"/>
      <c r="F656" s="21">
        <v>53.57</v>
      </c>
      <c r="G656" s="5">
        <v>3.5</v>
      </c>
      <c r="H656" s="24">
        <f t="shared" ref="H656" si="289">+F656*0.965</f>
        <v>51.695050000000002</v>
      </c>
      <c r="I656" s="27"/>
      <c r="J656" s="38">
        <f t="shared" si="288"/>
        <v>0</v>
      </c>
    </row>
    <row r="657" spans="1:10" ht="24" customHeight="1">
      <c r="A657" s="37">
        <v>701200</v>
      </c>
      <c r="B657" s="4" t="s">
        <v>706</v>
      </c>
      <c r="C657" s="5">
        <v>31.36</v>
      </c>
      <c r="D657" s="5"/>
      <c r="E657" s="5"/>
      <c r="F657" s="21">
        <v>33.94</v>
      </c>
      <c r="G657" s="5">
        <v>3.5</v>
      </c>
      <c r="H657" s="24">
        <f t="shared" ref="H657:H661" si="290">+F657*0.965</f>
        <v>32.752099999999999</v>
      </c>
      <c r="I657" s="27"/>
      <c r="J657" s="38">
        <f t="shared" ref="J657:J661" si="291">+I657*H657</f>
        <v>0</v>
      </c>
    </row>
    <row r="658" spans="1:10" ht="24" customHeight="1">
      <c r="A658" s="37">
        <v>701208</v>
      </c>
      <c r="B658" s="4" t="s">
        <v>707</v>
      </c>
      <c r="C658" s="5">
        <v>31.36</v>
      </c>
      <c r="D658" s="5"/>
      <c r="E658" s="5"/>
      <c r="F658" s="21">
        <v>33.94</v>
      </c>
      <c r="G658" s="5">
        <v>3.5</v>
      </c>
      <c r="H658" s="24">
        <f t="shared" si="290"/>
        <v>32.752099999999999</v>
      </c>
      <c r="I658" s="27"/>
      <c r="J658" s="38">
        <f t="shared" si="291"/>
        <v>0</v>
      </c>
    </row>
    <row r="659" spans="1:10" ht="24" customHeight="1">
      <c r="A659" s="37">
        <v>701205</v>
      </c>
      <c r="B659" s="4" t="s">
        <v>708</v>
      </c>
      <c r="C659" s="5">
        <v>31.36</v>
      </c>
      <c r="D659" s="5"/>
      <c r="E659" s="5"/>
      <c r="F659" s="21">
        <v>33.94</v>
      </c>
      <c r="G659" s="5">
        <v>3.5</v>
      </c>
      <c r="H659" s="24">
        <f t="shared" si="290"/>
        <v>32.752099999999999</v>
      </c>
      <c r="I659" s="27"/>
      <c r="J659" s="38">
        <f t="shared" si="291"/>
        <v>0</v>
      </c>
    </row>
    <row r="660" spans="1:10" ht="24" customHeight="1">
      <c r="A660" s="37">
        <v>701203</v>
      </c>
      <c r="B660" s="4" t="s">
        <v>709</v>
      </c>
      <c r="C660" s="5">
        <v>14.34</v>
      </c>
      <c r="D660" s="5"/>
      <c r="E660" s="5"/>
      <c r="F660" s="21">
        <v>15.52</v>
      </c>
      <c r="G660" s="5">
        <v>3.5</v>
      </c>
      <c r="H660" s="24">
        <f t="shared" si="290"/>
        <v>14.976799999999999</v>
      </c>
      <c r="I660" s="27"/>
      <c r="J660" s="38">
        <f t="shared" si="291"/>
        <v>0</v>
      </c>
    </row>
    <row r="661" spans="1:10" ht="24" customHeight="1">
      <c r="A661" s="37">
        <v>701204</v>
      </c>
      <c r="B661" s="4" t="s">
        <v>710</v>
      </c>
      <c r="C661" s="5">
        <v>28.67</v>
      </c>
      <c r="D661" s="5"/>
      <c r="E661" s="5"/>
      <c r="F661" s="21">
        <v>31.02</v>
      </c>
      <c r="G661" s="5">
        <v>3.5</v>
      </c>
      <c r="H661" s="24">
        <f t="shared" si="290"/>
        <v>29.9343</v>
      </c>
      <c r="I661" s="27"/>
      <c r="J661" s="38">
        <f t="shared" si="291"/>
        <v>0</v>
      </c>
    </row>
    <row r="662" spans="1:10" ht="24" customHeight="1">
      <c r="A662" s="37">
        <v>654283</v>
      </c>
      <c r="B662" s="4" t="s">
        <v>518</v>
      </c>
      <c r="C662" s="13">
        <v>6.47</v>
      </c>
      <c r="D662" s="5"/>
      <c r="E662" s="5">
        <f t="shared" ref="E662:E663" si="292">+C662</f>
        <v>6.47</v>
      </c>
      <c r="F662" s="5"/>
      <c r="G662" s="5"/>
      <c r="H662" s="24"/>
      <c r="I662" s="27"/>
      <c r="J662" s="38">
        <f t="shared" ref="J662:J663" si="293">+I662*E662</f>
        <v>0</v>
      </c>
    </row>
    <row r="663" spans="1:10" ht="24" customHeight="1">
      <c r="A663" s="37">
        <v>654284</v>
      </c>
      <c r="B663" s="4" t="s">
        <v>517</v>
      </c>
      <c r="C663" s="13">
        <v>6.47</v>
      </c>
      <c r="D663" s="5"/>
      <c r="E663" s="5">
        <f t="shared" si="292"/>
        <v>6.47</v>
      </c>
      <c r="F663" s="5"/>
      <c r="G663" s="5"/>
      <c r="H663" s="24"/>
      <c r="I663" s="27"/>
      <c r="J663" s="38">
        <f t="shared" si="293"/>
        <v>0</v>
      </c>
    </row>
    <row r="664" spans="1:10" ht="24" customHeight="1">
      <c r="A664" s="37">
        <v>672044</v>
      </c>
      <c r="B664" s="4" t="s">
        <v>375</v>
      </c>
      <c r="C664" s="13">
        <v>13.73</v>
      </c>
      <c r="D664" s="5">
        <v>4</v>
      </c>
      <c r="E664" s="5">
        <f>+C664*0.96</f>
        <v>13.1808</v>
      </c>
      <c r="F664" s="5"/>
      <c r="G664" s="5"/>
      <c r="H664" s="24"/>
      <c r="I664" s="27"/>
      <c r="J664" s="38">
        <f t="shared" ref="J664" si="294">+I664*E664</f>
        <v>0</v>
      </c>
    </row>
    <row r="665" spans="1:10" ht="24" customHeight="1">
      <c r="A665" s="337" t="s">
        <v>261</v>
      </c>
      <c r="B665" s="338"/>
      <c r="C665" s="338"/>
      <c r="D665" s="338"/>
      <c r="E665" s="338"/>
      <c r="F665" s="338"/>
      <c r="G665" s="338"/>
      <c r="H665" s="339"/>
      <c r="I665" s="27"/>
      <c r="J665" s="36"/>
    </row>
    <row r="666" spans="1:10" ht="24" customHeight="1">
      <c r="A666" s="37">
        <v>684874</v>
      </c>
      <c r="B666" s="9" t="s">
        <v>262</v>
      </c>
      <c r="C666" s="13">
        <v>18.64</v>
      </c>
      <c r="D666" s="5">
        <v>10</v>
      </c>
      <c r="E666" s="5">
        <f>+C666*0.9</f>
        <v>16.776</v>
      </c>
      <c r="F666" s="5"/>
      <c r="G666" s="5"/>
      <c r="H666" s="24"/>
      <c r="I666" s="27"/>
      <c r="J666" s="40">
        <f>+I666*E666</f>
        <v>0</v>
      </c>
    </row>
    <row r="667" spans="1:10" ht="24" customHeight="1">
      <c r="A667" s="37"/>
      <c r="B667" s="9" t="s">
        <v>805</v>
      </c>
      <c r="C667" s="13">
        <v>18.64</v>
      </c>
      <c r="D667" s="5">
        <v>14</v>
      </c>
      <c r="E667" s="5">
        <f>+C667*0.86</f>
        <v>16.0304</v>
      </c>
      <c r="F667" s="5"/>
      <c r="G667" s="5"/>
      <c r="H667" s="24"/>
      <c r="I667" s="27"/>
      <c r="J667" s="40">
        <f t="shared" ref="J667:J683" si="295">+I667*E667</f>
        <v>0</v>
      </c>
    </row>
    <row r="668" spans="1:10" ht="24" customHeight="1">
      <c r="A668" s="37"/>
      <c r="B668" s="9" t="s">
        <v>806</v>
      </c>
      <c r="C668" s="13">
        <v>18.64</v>
      </c>
      <c r="D668" s="5">
        <v>18</v>
      </c>
      <c r="E668" s="5">
        <f>+C668*0.82</f>
        <v>15.284799999999999</v>
      </c>
      <c r="F668" s="5"/>
      <c r="G668" s="5"/>
      <c r="H668" s="24"/>
      <c r="I668" s="27"/>
      <c r="J668" s="40">
        <f t="shared" ref="J668" si="296">+I668*E668</f>
        <v>0</v>
      </c>
    </row>
    <row r="669" spans="1:10" ht="24" customHeight="1">
      <c r="A669" s="37">
        <v>154854</v>
      </c>
      <c r="B669" s="9" t="s">
        <v>350</v>
      </c>
      <c r="C669" s="13">
        <v>10.95</v>
      </c>
      <c r="D669" s="5">
        <v>30</v>
      </c>
      <c r="E669" s="5">
        <f>C669*0.7</f>
        <v>7.6649999999999991</v>
      </c>
      <c r="F669" s="5"/>
      <c r="G669" s="5"/>
      <c r="H669" s="24"/>
      <c r="I669" s="27"/>
      <c r="J669" s="40">
        <f t="shared" si="295"/>
        <v>0</v>
      </c>
    </row>
    <row r="670" spans="1:10" ht="24" customHeight="1">
      <c r="A670" s="37"/>
      <c r="B670" s="9" t="s">
        <v>807</v>
      </c>
      <c r="C670" s="13">
        <v>10.95</v>
      </c>
      <c r="D670" s="5">
        <v>34</v>
      </c>
      <c r="E670" s="5">
        <f>C670*0.66</f>
        <v>7.2270000000000003</v>
      </c>
      <c r="F670" s="5"/>
      <c r="G670" s="5"/>
      <c r="H670" s="24"/>
      <c r="I670" s="27"/>
      <c r="J670" s="40">
        <f t="shared" ref="J670:J671" si="297">+I670*E670</f>
        <v>0</v>
      </c>
    </row>
    <row r="671" spans="1:10" ht="24" customHeight="1">
      <c r="A671" s="37"/>
      <c r="B671" s="9" t="s">
        <v>808</v>
      </c>
      <c r="C671" s="13">
        <v>10.95</v>
      </c>
      <c r="D671" s="5">
        <v>38</v>
      </c>
      <c r="E671" s="5">
        <f>C671*0.62</f>
        <v>6.7889999999999997</v>
      </c>
      <c r="F671" s="5"/>
      <c r="G671" s="5"/>
      <c r="H671" s="24"/>
      <c r="I671" s="27"/>
      <c r="J671" s="40">
        <f t="shared" si="297"/>
        <v>0</v>
      </c>
    </row>
    <row r="672" spans="1:10" ht="24" customHeight="1">
      <c r="A672" s="37">
        <v>764118</v>
      </c>
      <c r="B672" s="9" t="s">
        <v>798</v>
      </c>
      <c r="C672" s="13">
        <v>4.46</v>
      </c>
      <c r="D672" s="5">
        <v>20</v>
      </c>
      <c r="E672" s="5">
        <f>+C672*0.8</f>
        <v>3.5680000000000001</v>
      </c>
      <c r="F672" s="5"/>
      <c r="G672" s="5"/>
      <c r="H672" s="24"/>
      <c r="I672" s="27"/>
      <c r="J672" s="40">
        <f t="shared" si="295"/>
        <v>0</v>
      </c>
    </row>
    <row r="673" spans="1:10" ht="24" customHeight="1">
      <c r="A673" s="37"/>
      <c r="B673" s="9" t="s">
        <v>799</v>
      </c>
      <c r="C673" s="13">
        <v>4.46</v>
      </c>
      <c r="D673" s="5">
        <v>25</v>
      </c>
      <c r="E673" s="5">
        <f>+C673*0.75</f>
        <v>3.3449999999999998</v>
      </c>
      <c r="F673" s="5"/>
      <c r="G673" s="5"/>
      <c r="H673" s="24"/>
      <c r="I673" s="27"/>
      <c r="J673" s="40">
        <f t="shared" ref="J673:J675" si="298">+I673*E673</f>
        <v>0</v>
      </c>
    </row>
    <row r="674" spans="1:10" ht="24" customHeight="1">
      <c r="A674" s="37"/>
      <c r="B674" s="9" t="s">
        <v>800</v>
      </c>
      <c r="C674" s="13">
        <v>4.46</v>
      </c>
      <c r="D674" s="5">
        <v>27</v>
      </c>
      <c r="E674" s="5">
        <f>+C674*0.73</f>
        <v>3.2557999999999998</v>
      </c>
      <c r="F674" s="5"/>
      <c r="G674" s="5"/>
      <c r="H674" s="24"/>
      <c r="I674" s="27"/>
      <c r="J674" s="40">
        <f t="shared" si="298"/>
        <v>0</v>
      </c>
    </row>
    <row r="675" spans="1:10" ht="24" customHeight="1">
      <c r="A675" s="37"/>
      <c r="B675" s="9" t="s">
        <v>801</v>
      </c>
      <c r="C675" s="13">
        <v>4.46</v>
      </c>
      <c r="D675" s="5">
        <v>30</v>
      </c>
      <c r="E675" s="5">
        <f>+C675*0.7</f>
        <v>3.1219999999999999</v>
      </c>
      <c r="F675" s="5"/>
      <c r="G675" s="5"/>
      <c r="H675" s="24"/>
      <c r="I675" s="27"/>
      <c r="J675" s="40">
        <f t="shared" si="298"/>
        <v>0</v>
      </c>
    </row>
    <row r="676" spans="1:10" ht="24" customHeight="1">
      <c r="A676" s="37">
        <v>684399</v>
      </c>
      <c r="B676" s="9" t="s">
        <v>415</v>
      </c>
      <c r="C676" s="13">
        <v>46.02</v>
      </c>
      <c r="D676" s="5">
        <v>3</v>
      </c>
      <c r="E676" s="5">
        <f>+C676*0.97</f>
        <v>44.639400000000002</v>
      </c>
      <c r="F676" s="5"/>
      <c r="G676" s="5"/>
      <c r="H676" s="24"/>
      <c r="I676" s="27"/>
      <c r="J676" s="40">
        <f t="shared" si="295"/>
        <v>0</v>
      </c>
    </row>
    <row r="677" spans="1:10" ht="24" customHeight="1">
      <c r="A677" s="37">
        <v>661225</v>
      </c>
      <c r="B677" s="9" t="s">
        <v>416</v>
      </c>
      <c r="C677" s="13">
        <v>6.29</v>
      </c>
      <c r="D677" s="5">
        <v>3</v>
      </c>
      <c r="E677" s="5">
        <f>+C677*0.97</f>
        <v>6.1013000000000002</v>
      </c>
      <c r="F677" s="5"/>
      <c r="G677" s="5"/>
      <c r="H677" s="24"/>
      <c r="I677" s="27"/>
      <c r="J677" s="40">
        <f t="shared" si="295"/>
        <v>0</v>
      </c>
    </row>
    <row r="678" spans="1:10" ht="24" customHeight="1">
      <c r="A678" s="37">
        <v>661224</v>
      </c>
      <c r="B678" s="9" t="s">
        <v>417</v>
      </c>
      <c r="C678" s="13">
        <v>5.2</v>
      </c>
      <c r="D678" s="5">
        <v>3</v>
      </c>
      <c r="E678" s="5">
        <f>+C678*0.97</f>
        <v>5.0439999999999996</v>
      </c>
      <c r="F678" s="5"/>
      <c r="G678" s="5"/>
      <c r="H678" s="24"/>
      <c r="I678" s="27"/>
      <c r="J678" s="40">
        <f t="shared" si="295"/>
        <v>0</v>
      </c>
    </row>
    <row r="679" spans="1:10" ht="24" hidden="1" customHeight="1">
      <c r="A679" s="37">
        <v>195018</v>
      </c>
      <c r="B679" s="9" t="s">
        <v>582</v>
      </c>
      <c r="C679" s="13">
        <v>12.55</v>
      </c>
      <c r="D679" s="5">
        <v>20</v>
      </c>
      <c r="E679" s="5">
        <f>+C679*0.8</f>
        <v>10.040000000000001</v>
      </c>
      <c r="F679" s="5"/>
      <c r="G679" s="5"/>
      <c r="H679" s="24"/>
      <c r="I679" s="27"/>
      <c r="J679" s="40">
        <f t="shared" si="295"/>
        <v>0</v>
      </c>
    </row>
    <row r="680" spans="1:10" ht="24" customHeight="1">
      <c r="A680" s="37">
        <v>784710</v>
      </c>
      <c r="B680" s="9" t="s">
        <v>359</v>
      </c>
      <c r="C680" s="13">
        <v>4.0999999999999996</v>
      </c>
      <c r="D680" s="5">
        <v>25</v>
      </c>
      <c r="E680" s="5">
        <f>+C680*0.75</f>
        <v>3.0749999999999997</v>
      </c>
      <c r="F680" s="5"/>
      <c r="G680" s="5"/>
      <c r="H680" s="24"/>
      <c r="I680" s="27"/>
      <c r="J680" s="40">
        <f t="shared" si="295"/>
        <v>0</v>
      </c>
    </row>
    <row r="681" spans="1:10" ht="24" customHeight="1">
      <c r="A681" s="37"/>
      <c r="B681" s="9" t="s">
        <v>816</v>
      </c>
      <c r="C681" s="13">
        <v>4.0999999999999996</v>
      </c>
      <c r="D681" s="5">
        <v>30</v>
      </c>
      <c r="E681" s="5">
        <f>+C681*0.7</f>
        <v>2.8699999999999997</v>
      </c>
      <c r="F681" s="5"/>
      <c r="G681" s="5"/>
      <c r="H681" s="24"/>
      <c r="I681" s="27"/>
      <c r="J681" s="40">
        <f t="shared" ref="J681:J682" si="299">+I681*E681</f>
        <v>0</v>
      </c>
    </row>
    <row r="682" spans="1:10" ht="24" customHeight="1">
      <c r="A682" s="37">
        <v>784702</v>
      </c>
      <c r="B682" s="9" t="s">
        <v>499</v>
      </c>
      <c r="C682" s="13">
        <v>5.51</v>
      </c>
      <c r="D682" s="5">
        <v>25</v>
      </c>
      <c r="E682" s="5">
        <f>+C682*0.75</f>
        <v>4.1325000000000003</v>
      </c>
      <c r="F682" s="5"/>
      <c r="G682" s="5"/>
      <c r="H682" s="24"/>
      <c r="I682" s="27"/>
      <c r="J682" s="40">
        <f t="shared" si="299"/>
        <v>0</v>
      </c>
    </row>
    <row r="683" spans="1:10" ht="24" customHeight="1">
      <c r="A683" s="37"/>
      <c r="B683" s="9" t="s">
        <v>817</v>
      </c>
      <c r="C683" s="13">
        <v>5.51</v>
      </c>
      <c r="D683" s="5">
        <v>30</v>
      </c>
      <c r="E683" s="5">
        <f>+C683*0.7</f>
        <v>3.8569999999999998</v>
      </c>
      <c r="F683" s="5"/>
      <c r="G683" s="5"/>
      <c r="H683" s="24"/>
      <c r="I683" s="27"/>
      <c r="J683" s="40">
        <f t="shared" si="295"/>
        <v>0</v>
      </c>
    </row>
    <row r="684" spans="1:10" ht="24" customHeight="1">
      <c r="A684" s="337" t="s">
        <v>384</v>
      </c>
      <c r="B684" s="338"/>
      <c r="C684" s="338"/>
      <c r="D684" s="338"/>
      <c r="E684" s="338"/>
      <c r="F684" s="338"/>
      <c r="G684" s="338"/>
      <c r="H684" s="339"/>
      <c r="I684" s="27"/>
      <c r="J684" s="36"/>
    </row>
    <row r="685" spans="1:10" ht="24" customHeight="1">
      <c r="A685" s="37">
        <v>872622</v>
      </c>
      <c r="B685" s="9" t="s">
        <v>385</v>
      </c>
      <c r="C685" s="5">
        <v>10.199999999999999</v>
      </c>
      <c r="D685" s="5"/>
      <c r="E685" s="5"/>
      <c r="F685" s="21">
        <v>11.04</v>
      </c>
      <c r="G685" s="5">
        <v>3.5</v>
      </c>
      <c r="H685" s="24">
        <f t="shared" ref="H685:H688" si="300">+F685*0.965</f>
        <v>10.653599999999999</v>
      </c>
      <c r="I685" s="27"/>
      <c r="J685" s="40">
        <f t="shared" ref="J685:J688" si="301">+I685*H685</f>
        <v>0</v>
      </c>
    </row>
    <row r="686" spans="1:10" ht="24" customHeight="1">
      <c r="A686" s="37">
        <v>870519</v>
      </c>
      <c r="B686" s="9" t="s">
        <v>386</v>
      </c>
      <c r="C686" s="5">
        <v>5.0999999999999996</v>
      </c>
      <c r="D686" s="5"/>
      <c r="E686" s="5"/>
      <c r="F686" s="21">
        <v>5.52</v>
      </c>
      <c r="G686" s="5">
        <v>3.5</v>
      </c>
      <c r="H686" s="24">
        <f t="shared" si="300"/>
        <v>5.3267999999999995</v>
      </c>
      <c r="I686" s="27"/>
      <c r="J686" s="40">
        <f t="shared" si="301"/>
        <v>0</v>
      </c>
    </row>
    <row r="687" spans="1:10" ht="24" customHeight="1">
      <c r="A687" s="37">
        <v>654269</v>
      </c>
      <c r="B687" s="9" t="s">
        <v>387</v>
      </c>
      <c r="C687" s="5">
        <v>10.199999999999999</v>
      </c>
      <c r="D687" s="5"/>
      <c r="E687" s="5"/>
      <c r="F687" s="21">
        <v>11.04</v>
      </c>
      <c r="G687" s="5">
        <v>3.5</v>
      </c>
      <c r="H687" s="24">
        <f t="shared" si="300"/>
        <v>10.653599999999999</v>
      </c>
      <c r="I687" s="27"/>
      <c r="J687" s="40">
        <f t="shared" si="301"/>
        <v>0</v>
      </c>
    </row>
    <row r="688" spans="1:10" ht="24" customHeight="1">
      <c r="A688" s="37">
        <v>673244</v>
      </c>
      <c r="B688" s="9" t="s">
        <v>388</v>
      </c>
      <c r="C688" s="5">
        <v>5.0999999999999996</v>
      </c>
      <c r="D688" s="5"/>
      <c r="E688" s="5"/>
      <c r="F688" s="21">
        <v>5.52</v>
      </c>
      <c r="G688" s="5">
        <v>3.5</v>
      </c>
      <c r="H688" s="24">
        <f t="shared" si="300"/>
        <v>5.3267999999999995</v>
      </c>
      <c r="I688" s="27"/>
      <c r="J688" s="40">
        <f t="shared" si="301"/>
        <v>0</v>
      </c>
    </row>
    <row r="689" spans="1:10" ht="24" customHeight="1">
      <c r="A689" s="37">
        <v>709250</v>
      </c>
      <c r="B689" s="9" t="s">
        <v>682</v>
      </c>
      <c r="C689" s="5">
        <v>89.04</v>
      </c>
      <c r="D689" s="5"/>
      <c r="E689" s="5"/>
      <c r="F689" s="21">
        <v>96.36</v>
      </c>
      <c r="G689" s="5">
        <v>3.5</v>
      </c>
      <c r="H689" s="24">
        <f t="shared" ref="H689" si="302">+F689*0.965</f>
        <v>92.987399999999994</v>
      </c>
      <c r="I689" s="27"/>
      <c r="J689" s="40">
        <f t="shared" ref="J689" si="303">+I689*H689</f>
        <v>0</v>
      </c>
    </row>
    <row r="690" spans="1:10" ht="24" customHeight="1">
      <c r="A690" s="37">
        <v>661654</v>
      </c>
      <c r="B690" s="9" t="s">
        <v>537</v>
      </c>
      <c r="C690" s="5">
        <v>33.979999999999997</v>
      </c>
      <c r="D690" s="5"/>
      <c r="E690" s="5"/>
      <c r="F690" s="21">
        <v>36.78</v>
      </c>
      <c r="G690" s="5">
        <v>3.5</v>
      </c>
      <c r="H690" s="24">
        <f t="shared" ref="H690:H696" si="304">+F690*0.965</f>
        <v>35.492699999999999</v>
      </c>
      <c r="I690" s="27"/>
      <c r="J690" s="40">
        <f t="shared" ref="J690:J696" si="305">+I690*H690</f>
        <v>0</v>
      </c>
    </row>
    <row r="691" spans="1:10" ht="24" customHeight="1">
      <c r="A691" s="37">
        <v>926519</v>
      </c>
      <c r="B691" s="9" t="s">
        <v>699</v>
      </c>
      <c r="C691" s="5">
        <v>11.2</v>
      </c>
      <c r="D691" s="5"/>
      <c r="E691" s="5"/>
      <c r="F691" s="21">
        <v>12.12</v>
      </c>
      <c r="G691" s="5">
        <v>3.5</v>
      </c>
      <c r="H691" s="24">
        <f t="shared" ref="H691:H694" si="306">+F691*0.965</f>
        <v>11.695799999999998</v>
      </c>
      <c r="I691" s="27"/>
      <c r="J691" s="40">
        <f t="shared" ref="J691:J694" si="307">+I691*H691</f>
        <v>0</v>
      </c>
    </row>
    <row r="692" spans="1:10" ht="24" customHeight="1">
      <c r="A692" s="37">
        <v>776344</v>
      </c>
      <c r="B692" s="9" t="s">
        <v>700</v>
      </c>
      <c r="C692" s="5">
        <v>5.6</v>
      </c>
      <c r="D692" s="5"/>
      <c r="E692" s="5"/>
      <c r="F692" s="21">
        <v>6.06</v>
      </c>
      <c r="G692" s="5">
        <v>3.5</v>
      </c>
      <c r="H692" s="24">
        <f t="shared" si="306"/>
        <v>5.8478999999999992</v>
      </c>
      <c r="I692" s="27"/>
      <c r="J692" s="40">
        <f t="shared" si="307"/>
        <v>0</v>
      </c>
    </row>
    <row r="693" spans="1:10" ht="24" customHeight="1">
      <c r="A693" s="37">
        <v>907089</v>
      </c>
      <c r="B693" s="9" t="s">
        <v>406</v>
      </c>
      <c r="C693" s="5">
        <v>11.2</v>
      </c>
      <c r="D693" s="5"/>
      <c r="E693" s="5"/>
      <c r="F693" s="21">
        <v>12.12</v>
      </c>
      <c r="G693" s="5">
        <v>3.5</v>
      </c>
      <c r="H693" s="24">
        <f t="shared" si="306"/>
        <v>11.695799999999998</v>
      </c>
      <c r="I693" s="27"/>
      <c r="J693" s="40">
        <f t="shared" si="307"/>
        <v>0</v>
      </c>
    </row>
    <row r="694" spans="1:10" ht="24" customHeight="1">
      <c r="A694" s="37">
        <v>776435</v>
      </c>
      <c r="B694" s="9" t="s">
        <v>701</v>
      </c>
      <c r="C694" s="5">
        <v>5.6</v>
      </c>
      <c r="D694" s="5"/>
      <c r="E694" s="5"/>
      <c r="F694" s="21">
        <v>6.06</v>
      </c>
      <c r="G694" s="5">
        <v>3.5</v>
      </c>
      <c r="H694" s="24">
        <f t="shared" si="306"/>
        <v>5.8478999999999992</v>
      </c>
      <c r="I694" s="27"/>
      <c r="J694" s="40">
        <f t="shared" si="307"/>
        <v>0</v>
      </c>
    </row>
    <row r="695" spans="1:10" ht="24" customHeight="1">
      <c r="A695" s="37">
        <v>698371</v>
      </c>
      <c r="B695" s="9" t="s">
        <v>538</v>
      </c>
      <c r="C695" s="5">
        <v>53.17</v>
      </c>
      <c r="D695" s="5"/>
      <c r="E695" s="5"/>
      <c r="F695" s="21">
        <v>57.54</v>
      </c>
      <c r="G695" s="5">
        <v>3.5</v>
      </c>
      <c r="H695" s="24">
        <f t="shared" si="304"/>
        <v>55.5261</v>
      </c>
      <c r="I695" s="27"/>
      <c r="J695" s="40">
        <f t="shared" si="305"/>
        <v>0</v>
      </c>
    </row>
    <row r="696" spans="1:10" ht="24" customHeight="1">
      <c r="A696" s="37">
        <v>698372</v>
      </c>
      <c r="B696" s="9" t="s">
        <v>539</v>
      </c>
      <c r="C696" s="5">
        <v>53.17</v>
      </c>
      <c r="D696" s="5"/>
      <c r="E696" s="5"/>
      <c r="F696" s="21">
        <v>57.54</v>
      </c>
      <c r="G696" s="5">
        <v>3.5</v>
      </c>
      <c r="H696" s="24">
        <f t="shared" si="304"/>
        <v>55.5261</v>
      </c>
      <c r="I696" s="27"/>
      <c r="J696" s="40">
        <f t="shared" si="305"/>
        <v>0</v>
      </c>
    </row>
    <row r="697" spans="1:10" ht="24" hidden="1" customHeight="1">
      <c r="A697" s="37">
        <v>698373</v>
      </c>
      <c r="B697" s="9" t="s">
        <v>691</v>
      </c>
      <c r="C697" s="5">
        <v>53.17</v>
      </c>
      <c r="D697" s="5"/>
      <c r="E697" s="5"/>
      <c r="F697" s="5">
        <v>57.54</v>
      </c>
      <c r="G697" s="5">
        <v>3.5</v>
      </c>
      <c r="H697" s="24">
        <f t="shared" ref="H697" si="308">+F697*0.965</f>
        <v>55.5261</v>
      </c>
      <c r="I697" s="27"/>
      <c r="J697" s="40">
        <f t="shared" ref="J697" si="309">+I697*H697</f>
        <v>0</v>
      </c>
    </row>
    <row r="698" spans="1:10" ht="24" customHeight="1">
      <c r="A698" s="337" t="s">
        <v>420</v>
      </c>
      <c r="B698" s="338"/>
      <c r="C698" s="338"/>
      <c r="D698" s="338"/>
      <c r="E698" s="338"/>
      <c r="F698" s="338"/>
      <c r="G698" s="338"/>
      <c r="H698" s="339"/>
      <c r="I698" s="27"/>
      <c r="J698" s="36"/>
    </row>
    <row r="699" spans="1:10" ht="24" customHeight="1">
      <c r="A699" s="37">
        <v>693698</v>
      </c>
      <c r="B699" s="9" t="s">
        <v>421</v>
      </c>
      <c r="C699" s="5">
        <v>10</v>
      </c>
      <c r="D699" s="5"/>
      <c r="E699" s="5"/>
      <c r="F699" s="21">
        <v>10.82</v>
      </c>
      <c r="G699" s="5">
        <v>3.5</v>
      </c>
      <c r="H699" s="24">
        <f t="shared" ref="H699:H703" si="310">+F699*0.965</f>
        <v>10.4413</v>
      </c>
      <c r="I699" s="27"/>
      <c r="J699" s="40">
        <f t="shared" ref="J699:J703" si="311">+I699*H699</f>
        <v>0</v>
      </c>
    </row>
    <row r="700" spans="1:10" ht="24" customHeight="1">
      <c r="A700" s="37">
        <v>677575</v>
      </c>
      <c r="B700" s="9" t="s">
        <v>422</v>
      </c>
      <c r="C700" s="5">
        <v>3.24</v>
      </c>
      <c r="D700" s="5"/>
      <c r="E700" s="5"/>
      <c r="F700" s="21">
        <v>3.5</v>
      </c>
      <c r="G700" s="5">
        <v>3.5</v>
      </c>
      <c r="H700" s="24">
        <f t="shared" si="310"/>
        <v>3.3774999999999999</v>
      </c>
      <c r="I700" s="27"/>
      <c r="J700" s="40">
        <f t="shared" si="311"/>
        <v>0</v>
      </c>
    </row>
    <row r="701" spans="1:10" ht="24" customHeight="1">
      <c r="A701" s="37">
        <v>718836</v>
      </c>
      <c r="B701" s="9" t="s">
        <v>423</v>
      </c>
      <c r="C701" s="5">
        <v>8.93</v>
      </c>
      <c r="D701" s="5"/>
      <c r="E701" s="5"/>
      <c r="F701" s="21">
        <v>9.66</v>
      </c>
      <c r="G701" s="5">
        <v>3.5</v>
      </c>
      <c r="H701" s="24">
        <f t="shared" si="310"/>
        <v>9.3218999999999994</v>
      </c>
      <c r="I701" s="27"/>
      <c r="J701" s="40">
        <f t="shared" si="311"/>
        <v>0</v>
      </c>
    </row>
    <row r="702" spans="1:10" ht="24" customHeight="1">
      <c r="A702" s="37">
        <v>703828</v>
      </c>
      <c r="B702" s="9" t="s">
        <v>424</v>
      </c>
      <c r="C702" s="5">
        <v>15.52</v>
      </c>
      <c r="D702" s="5"/>
      <c r="E702" s="5"/>
      <c r="F702" s="21">
        <v>16.8</v>
      </c>
      <c r="G702" s="5">
        <v>3.5</v>
      </c>
      <c r="H702" s="24">
        <f t="shared" ref="H702" si="312">+F702*0.965</f>
        <v>16.212</v>
      </c>
      <c r="I702" s="27"/>
      <c r="J702" s="40">
        <f t="shared" ref="J702" si="313">+I702*H702</f>
        <v>0</v>
      </c>
    </row>
    <row r="703" spans="1:10" ht="24" customHeight="1">
      <c r="A703" s="37">
        <v>723944</v>
      </c>
      <c r="B703" s="9" t="s">
        <v>465</v>
      </c>
      <c r="C703" s="5">
        <v>13.73</v>
      </c>
      <c r="D703" s="5"/>
      <c r="E703" s="5"/>
      <c r="F703" s="21">
        <v>14.86</v>
      </c>
      <c r="G703" s="5">
        <v>3.5</v>
      </c>
      <c r="H703" s="24">
        <f t="shared" si="310"/>
        <v>14.339899999999998</v>
      </c>
      <c r="I703" s="27"/>
      <c r="J703" s="40">
        <f t="shared" si="311"/>
        <v>0</v>
      </c>
    </row>
    <row r="704" spans="1:10" ht="24" customHeight="1">
      <c r="A704" s="337" t="s">
        <v>401</v>
      </c>
      <c r="B704" s="338"/>
      <c r="C704" s="338"/>
      <c r="D704" s="338"/>
      <c r="E704" s="338"/>
      <c r="F704" s="338"/>
      <c r="G704" s="338"/>
      <c r="H704" s="339"/>
      <c r="I704" s="27"/>
      <c r="J704" s="36"/>
    </row>
    <row r="705" spans="1:10" ht="24" hidden="1" customHeight="1">
      <c r="A705" s="37">
        <v>171035</v>
      </c>
      <c r="B705" s="9" t="s">
        <v>658</v>
      </c>
      <c r="C705" s="5">
        <v>8.25</v>
      </c>
      <c r="D705" s="5">
        <v>12</v>
      </c>
      <c r="E705" s="5">
        <f>+C705*0.88</f>
        <v>7.26</v>
      </c>
      <c r="F705" s="5"/>
      <c r="G705" s="5"/>
      <c r="H705" s="24"/>
      <c r="I705" s="27"/>
      <c r="J705" s="38">
        <f>+I705*E705</f>
        <v>0</v>
      </c>
    </row>
    <row r="706" spans="1:10" ht="24" hidden="1" customHeight="1">
      <c r="A706" s="37">
        <v>177651</v>
      </c>
      <c r="B706" s="9" t="s">
        <v>671</v>
      </c>
      <c r="C706" s="5">
        <v>8.25</v>
      </c>
      <c r="D706" s="5">
        <v>12</v>
      </c>
      <c r="E706" s="5">
        <f>+C706*0.88</f>
        <v>7.26</v>
      </c>
      <c r="F706" s="5"/>
      <c r="G706" s="5"/>
      <c r="H706" s="24"/>
      <c r="I706" s="27"/>
      <c r="J706" s="38">
        <f>+I706*E706</f>
        <v>0</v>
      </c>
    </row>
    <row r="707" spans="1:10" ht="24" customHeight="1">
      <c r="A707" s="37">
        <v>653619</v>
      </c>
      <c r="B707" s="9" t="s">
        <v>586</v>
      </c>
      <c r="C707" s="5">
        <v>2.59</v>
      </c>
      <c r="D707" s="5"/>
      <c r="E707" s="5"/>
      <c r="F707" s="21">
        <v>2.8</v>
      </c>
      <c r="G707" s="5">
        <v>3.5</v>
      </c>
      <c r="H707" s="24">
        <f>+F707*0.965</f>
        <v>2.702</v>
      </c>
      <c r="I707" s="27"/>
      <c r="J707" s="38">
        <f>+I707*H707</f>
        <v>0</v>
      </c>
    </row>
    <row r="708" spans="1:10" ht="24" customHeight="1">
      <c r="A708" s="337" t="s">
        <v>190</v>
      </c>
      <c r="B708" s="338"/>
      <c r="C708" s="338"/>
      <c r="D708" s="338"/>
      <c r="E708" s="338"/>
      <c r="F708" s="338"/>
      <c r="G708" s="338"/>
      <c r="H708" s="339"/>
      <c r="I708" s="27"/>
      <c r="J708" s="36"/>
    </row>
    <row r="709" spans="1:10" ht="24" customHeight="1">
      <c r="A709" s="37">
        <v>662848</v>
      </c>
      <c r="B709" s="9" t="s">
        <v>185</v>
      </c>
      <c r="C709" s="5">
        <v>65.52</v>
      </c>
      <c r="D709" s="5"/>
      <c r="E709" s="5"/>
      <c r="F709" s="21">
        <v>70.91</v>
      </c>
      <c r="G709" s="5">
        <v>3.5</v>
      </c>
      <c r="H709" s="24">
        <f>+F709*0.965</f>
        <v>68.428149999999988</v>
      </c>
      <c r="I709" s="27"/>
      <c r="J709" s="38">
        <f t="shared" ref="J709:J722" si="314">+I709*H709</f>
        <v>0</v>
      </c>
    </row>
    <row r="710" spans="1:10" ht="24" customHeight="1">
      <c r="A710" s="37">
        <v>999900</v>
      </c>
      <c r="B710" s="9" t="s">
        <v>669</v>
      </c>
      <c r="C710" s="5">
        <v>4.47</v>
      </c>
      <c r="D710" s="5"/>
      <c r="E710" s="5"/>
      <c r="F710" s="21">
        <v>4.67</v>
      </c>
      <c r="G710" s="5">
        <v>3.5</v>
      </c>
      <c r="H710" s="24">
        <f t="shared" ref="H710:H711" si="315">+F710*0.965</f>
        <v>4.5065499999999998</v>
      </c>
      <c r="I710" s="27"/>
      <c r="J710" s="38">
        <f t="shared" ref="J710:J711" si="316">+I710*H710</f>
        <v>0</v>
      </c>
    </row>
    <row r="711" spans="1:10" ht="24" customHeight="1">
      <c r="A711" s="37">
        <v>713326</v>
      </c>
      <c r="B711" s="9" t="s">
        <v>670</v>
      </c>
      <c r="C711" s="5">
        <v>90</v>
      </c>
      <c r="D711" s="5"/>
      <c r="E711" s="5"/>
      <c r="F711" s="21">
        <v>97.4</v>
      </c>
      <c r="G711" s="5">
        <v>3.5</v>
      </c>
      <c r="H711" s="24">
        <f t="shared" si="315"/>
        <v>93.991</v>
      </c>
      <c r="I711" s="27"/>
      <c r="J711" s="38">
        <f t="shared" si="316"/>
        <v>0</v>
      </c>
    </row>
    <row r="712" spans="1:10" ht="24" customHeight="1">
      <c r="A712" s="37">
        <v>723304</v>
      </c>
      <c r="B712" s="9" t="s">
        <v>275</v>
      </c>
      <c r="C712" s="5">
        <v>25.34</v>
      </c>
      <c r="D712" s="5"/>
      <c r="E712" s="5"/>
      <c r="F712" s="21">
        <v>27.43</v>
      </c>
      <c r="G712" s="5">
        <v>3.5</v>
      </c>
      <c r="H712" s="24">
        <f t="shared" ref="H712" si="317">+F712*0.965</f>
        <v>26.469949999999997</v>
      </c>
      <c r="I712" s="27"/>
      <c r="J712" s="40">
        <f t="shared" ref="J712" si="318">+I712*H712</f>
        <v>0</v>
      </c>
    </row>
    <row r="713" spans="1:10" ht="24" customHeight="1">
      <c r="A713" s="37">
        <v>723305</v>
      </c>
      <c r="B713" s="9" t="s">
        <v>361</v>
      </c>
      <c r="C713" s="5">
        <v>25.34</v>
      </c>
      <c r="D713" s="5"/>
      <c r="E713" s="5"/>
      <c r="F713" s="21">
        <v>27.43</v>
      </c>
      <c r="G713" s="5">
        <v>3.5</v>
      </c>
      <c r="H713" s="24">
        <f t="shared" ref="H713" si="319">+F713*0.965</f>
        <v>26.469949999999997</v>
      </c>
      <c r="I713" s="27"/>
      <c r="J713" s="40">
        <f t="shared" ref="J713" si="320">+I713*H713</f>
        <v>0</v>
      </c>
    </row>
    <row r="714" spans="1:10" ht="24" customHeight="1">
      <c r="A714" s="37">
        <v>660229</v>
      </c>
      <c r="B714" s="9" t="s">
        <v>186</v>
      </c>
      <c r="C714" s="5">
        <v>3.74</v>
      </c>
      <c r="D714" s="5"/>
      <c r="E714" s="5"/>
      <c r="F714" s="21">
        <v>4.04</v>
      </c>
      <c r="G714" s="5">
        <v>3.5</v>
      </c>
      <c r="H714" s="24">
        <f t="shared" ref="H714:H722" si="321">+F714*0.965</f>
        <v>3.8986000000000001</v>
      </c>
      <c r="I714" s="27"/>
      <c r="J714" s="40">
        <f t="shared" si="314"/>
        <v>0</v>
      </c>
    </row>
    <row r="715" spans="1:10" ht="24" customHeight="1">
      <c r="A715" s="37">
        <v>651473</v>
      </c>
      <c r="B715" s="9" t="s">
        <v>187</v>
      </c>
      <c r="C715" s="5">
        <v>8.69</v>
      </c>
      <c r="D715" s="5"/>
      <c r="E715" s="5"/>
      <c r="F715" s="21">
        <v>9.4</v>
      </c>
      <c r="G715" s="5">
        <v>3.5</v>
      </c>
      <c r="H715" s="24">
        <f t="shared" si="321"/>
        <v>9.0709999999999997</v>
      </c>
      <c r="I715" s="27"/>
      <c r="J715" s="40">
        <f t="shared" si="314"/>
        <v>0</v>
      </c>
    </row>
    <row r="716" spans="1:10" ht="24" customHeight="1">
      <c r="A716" s="37">
        <v>656528</v>
      </c>
      <c r="B716" s="9" t="s">
        <v>230</v>
      </c>
      <c r="C716" s="5">
        <v>18.440000000000001</v>
      </c>
      <c r="D716" s="5"/>
      <c r="E716" s="5"/>
      <c r="F716" s="21">
        <v>19.96</v>
      </c>
      <c r="G716" s="5">
        <v>3.5</v>
      </c>
      <c r="H716" s="24">
        <f t="shared" ref="H716:H717" si="322">+F716*0.965</f>
        <v>19.261400000000002</v>
      </c>
      <c r="I716" s="27"/>
      <c r="J716" s="40">
        <f t="shared" ref="J716:J717" si="323">+I716*H716</f>
        <v>0</v>
      </c>
    </row>
    <row r="717" spans="1:10" ht="24" customHeight="1">
      <c r="A717" s="37">
        <v>656529</v>
      </c>
      <c r="B717" s="9" t="s">
        <v>231</v>
      </c>
      <c r="C717" s="5">
        <v>10.07</v>
      </c>
      <c r="D717" s="5"/>
      <c r="E717" s="5"/>
      <c r="F717" s="21">
        <v>10.9</v>
      </c>
      <c r="G717" s="5">
        <v>3.5</v>
      </c>
      <c r="H717" s="24">
        <f t="shared" si="322"/>
        <v>10.5185</v>
      </c>
      <c r="I717" s="27"/>
      <c r="J717" s="40">
        <f t="shared" si="323"/>
        <v>0</v>
      </c>
    </row>
    <row r="718" spans="1:10" ht="24" customHeight="1">
      <c r="A718" s="37">
        <v>656526</v>
      </c>
      <c r="B718" s="9" t="s">
        <v>256</v>
      </c>
      <c r="C718" s="5">
        <v>29.48</v>
      </c>
      <c r="D718" s="5"/>
      <c r="E718" s="5"/>
      <c r="F718" s="21">
        <v>31.9</v>
      </c>
      <c r="G718" s="5">
        <v>3.5</v>
      </c>
      <c r="H718" s="24">
        <f t="shared" ref="H718:H719" si="324">+F718*0.965</f>
        <v>30.783499999999997</v>
      </c>
      <c r="I718" s="27"/>
      <c r="J718" s="40">
        <f t="shared" ref="J718:J719" si="325">+I718*H718</f>
        <v>0</v>
      </c>
    </row>
    <row r="719" spans="1:10" ht="24" customHeight="1">
      <c r="A719" s="37">
        <v>656527</v>
      </c>
      <c r="B719" s="9" t="s">
        <v>257</v>
      </c>
      <c r="C719" s="5">
        <v>16.13</v>
      </c>
      <c r="D719" s="5"/>
      <c r="E719" s="5"/>
      <c r="F719" s="21">
        <v>17.46</v>
      </c>
      <c r="G719" s="5">
        <v>3.5</v>
      </c>
      <c r="H719" s="24">
        <f t="shared" si="324"/>
        <v>16.8489</v>
      </c>
      <c r="I719" s="27"/>
      <c r="J719" s="40">
        <f t="shared" si="325"/>
        <v>0</v>
      </c>
    </row>
    <row r="720" spans="1:10" ht="24" customHeight="1">
      <c r="A720" s="37">
        <v>711250</v>
      </c>
      <c r="B720" s="9" t="s">
        <v>297</v>
      </c>
      <c r="C720" s="5">
        <v>25.14</v>
      </c>
      <c r="D720" s="5"/>
      <c r="E720" s="5"/>
      <c r="F720" s="21">
        <v>27.21</v>
      </c>
      <c r="G720" s="5">
        <v>3.5</v>
      </c>
      <c r="H720" s="24">
        <f t="shared" ref="H720" si="326">+F720*0.965</f>
        <v>26.257650000000002</v>
      </c>
      <c r="I720" s="27"/>
      <c r="J720" s="40">
        <f t="shared" ref="J720" si="327">+I720*H720</f>
        <v>0</v>
      </c>
    </row>
    <row r="721" spans="1:10" ht="24" customHeight="1">
      <c r="A721" s="37">
        <v>934836</v>
      </c>
      <c r="B721" s="9" t="s">
        <v>188</v>
      </c>
      <c r="C721" s="5">
        <v>3.76</v>
      </c>
      <c r="D721" s="5"/>
      <c r="E721" s="5"/>
      <c r="F721" s="21">
        <v>4.07</v>
      </c>
      <c r="G721" s="5">
        <v>3.5</v>
      </c>
      <c r="H721" s="24">
        <f t="shared" si="321"/>
        <v>3.9275500000000001</v>
      </c>
      <c r="I721" s="27"/>
      <c r="J721" s="38">
        <f t="shared" si="314"/>
        <v>0</v>
      </c>
    </row>
    <row r="722" spans="1:10" ht="24" customHeight="1">
      <c r="A722" s="37">
        <v>934893</v>
      </c>
      <c r="B722" s="9" t="s">
        <v>189</v>
      </c>
      <c r="C722" s="5">
        <v>7.52</v>
      </c>
      <c r="D722" s="5"/>
      <c r="E722" s="5"/>
      <c r="F722" s="21">
        <v>8.14</v>
      </c>
      <c r="G722" s="5">
        <v>3.5</v>
      </c>
      <c r="H722" s="24">
        <f t="shared" si="321"/>
        <v>7.8551000000000002</v>
      </c>
      <c r="I722" s="27"/>
      <c r="J722" s="38">
        <f t="shared" si="314"/>
        <v>0</v>
      </c>
    </row>
    <row r="723" spans="1:10" ht="24" customHeight="1">
      <c r="A723" s="337" t="s">
        <v>191</v>
      </c>
      <c r="B723" s="338"/>
      <c r="C723" s="338"/>
      <c r="D723" s="338"/>
      <c r="E723" s="338"/>
      <c r="F723" s="338"/>
      <c r="G723" s="338"/>
      <c r="H723" s="339"/>
      <c r="I723" s="27"/>
      <c r="J723" s="36"/>
    </row>
    <row r="724" spans="1:10" ht="24" customHeight="1">
      <c r="A724" s="37">
        <v>688076</v>
      </c>
      <c r="B724" s="9" t="s">
        <v>192</v>
      </c>
      <c r="C724" s="5">
        <v>16.059999999999999</v>
      </c>
      <c r="D724" s="5"/>
      <c r="E724" s="5"/>
      <c r="F724" s="21">
        <v>17.38</v>
      </c>
      <c r="G724" s="5">
        <v>3.5</v>
      </c>
      <c r="H724" s="24">
        <f>+F724*0.965</f>
        <v>16.771699999999999</v>
      </c>
      <c r="I724" s="27"/>
      <c r="J724" s="40">
        <f>+I724*H724</f>
        <v>0</v>
      </c>
    </row>
    <row r="725" spans="1:10" ht="24" customHeight="1">
      <c r="A725" s="37">
        <v>755587</v>
      </c>
      <c r="B725" s="9" t="s">
        <v>193</v>
      </c>
      <c r="C725" s="5">
        <v>9.64</v>
      </c>
      <c r="D725" s="5"/>
      <c r="E725" s="5"/>
      <c r="F725" s="21">
        <v>10.43</v>
      </c>
      <c r="G725" s="5">
        <v>3.5</v>
      </c>
      <c r="H725" s="24">
        <f t="shared" ref="H725:H733" si="328">+F725*0.965</f>
        <v>10.06495</v>
      </c>
      <c r="I725" s="27"/>
      <c r="J725" s="40">
        <f t="shared" ref="J725:J733" si="329">+I725*H725</f>
        <v>0</v>
      </c>
    </row>
    <row r="726" spans="1:10" ht="24" customHeight="1">
      <c r="A726" s="37">
        <v>958371</v>
      </c>
      <c r="B726" s="9" t="s">
        <v>854</v>
      </c>
      <c r="C726" s="5">
        <v>4.82</v>
      </c>
      <c r="D726" s="5"/>
      <c r="E726" s="5"/>
      <c r="F726" s="21">
        <v>5.22</v>
      </c>
      <c r="G726" s="5">
        <v>3.5</v>
      </c>
      <c r="H726" s="24">
        <f t="shared" ref="H726" si="330">+F726*0.965</f>
        <v>5.0372999999999992</v>
      </c>
      <c r="I726" s="27"/>
      <c r="J726" s="40">
        <f t="shared" ref="J726" si="331">+I726*H726</f>
        <v>0</v>
      </c>
    </row>
    <row r="727" spans="1:10" ht="24" customHeight="1">
      <c r="A727" s="37">
        <v>700524</v>
      </c>
      <c r="B727" s="9" t="s">
        <v>232</v>
      </c>
      <c r="C727" s="5">
        <v>4.8600000000000003</v>
      </c>
      <c r="D727" s="5"/>
      <c r="E727" s="5"/>
      <c r="F727" s="21">
        <v>5.26</v>
      </c>
      <c r="G727" s="5">
        <v>3.5</v>
      </c>
      <c r="H727" s="24">
        <f t="shared" ref="H727" si="332">+F727*0.965</f>
        <v>5.0758999999999999</v>
      </c>
      <c r="I727" s="27"/>
      <c r="J727" s="40">
        <f t="shared" ref="J727" si="333">+I727*H727</f>
        <v>0</v>
      </c>
    </row>
    <row r="728" spans="1:10" ht="24" customHeight="1">
      <c r="A728" s="37">
        <v>799015</v>
      </c>
      <c r="B728" s="9" t="s">
        <v>258</v>
      </c>
      <c r="C728" s="5">
        <v>12.97</v>
      </c>
      <c r="D728" s="5"/>
      <c r="E728" s="5"/>
      <c r="F728" s="21">
        <v>14.04</v>
      </c>
      <c r="G728" s="5">
        <v>3.5</v>
      </c>
      <c r="H728" s="24">
        <f t="shared" ref="H728:H731" si="334">+F728*0.965</f>
        <v>13.548599999999999</v>
      </c>
      <c r="I728" s="27"/>
      <c r="J728" s="40">
        <f t="shared" ref="J728:J731" si="335">+I728*H728</f>
        <v>0</v>
      </c>
    </row>
    <row r="729" spans="1:10" ht="24" customHeight="1">
      <c r="A729" s="37">
        <v>668830</v>
      </c>
      <c r="B729" s="9" t="s">
        <v>259</v>
      </c>
      <c r="C729" s="5">
        <v>5.2</v>
      </c>
      <c r="D729" s="5"/>
      <c r="E729" s="5"/>
      <c r="F729" s="21">
        <v>5.63</v>
      </c>
      <c r="G729" s="5">
        <v>3.5</v>
      </c>
      <c r="H729" s="24">
        <f t="shared" si="334"/>
        <v>5.4329499999999999</v>
      </c>
      <c r="I729" s="27"/>
      <c r="J729" s="40">
        <f t="shared" si="335"/>
        <v>0</v>
      </c>
    </row>
    <row r="730" spans="1:10" ht="24" customHeight="1">
      <c r="A730" s="37">
        <v>672718</v>
      </c>
      <c r="B730" s="9" t="s">
        <v>260</v>
      </c>
      <c r="C730" s="5">
        <v>8.5399999999999991</v>
      </c>
      <c r="D730" s="5"/>
      <c r="E730" s="5"/>
      <c r="F730" s="21">
        <v>9.24</v>
      </c>
      <c r="G730" s="5">
        <v>3.5</v>
      </c>
      <c r="H730" s="24">
        <f t="shared" si="334"/>
        <v>8.9166000000000007</v>
      </c>
      <c r="I730" s="27"/>
      <c r="J730" s="40">
        <f t="shared" si="335"/>
        <v>0</v>
      </c>
    </row>
    <row r="731" spans="1:10" ht="24" customHeight="1">
      <c r="A731" s="37">
        <v>651626</v>
      </c>
      <c r="B731" s="9" t="s">
        <v>303</v>
      </c>
      <c r="C731" s="5">
        <v>7.88</v>
      </c>
      <c r="D731" s="5"/>
      <c r="E731" s="5"/>
      <c r="F731" s="21">
        <v>8.5299999999999994</v>
      </c>
      <c r="G731" s="5">
        <v>3.5</v>
      </c>
      <c r="H731" s="24">
        <f t="shared" si="334"/>
        <v>8.2314499999999988</v>
      </c>
      <c r="I731" s="27"/>
      <c r="J731" s="40">
        <f t="shared" si="335"/>
        <v>0</v>
      </c>
    </row>
    <row r="732" spans="1:10" ht="24" customHeight="1">
      <c r="A732" s="37">
        <v>7259022</v>
      </c>
      <c r="B732" s="9" t="s">
        <v>746</v>
      </c>
      <c r="C732" s="5">
        <v>3.33</v>
      </c>
      <c r="D732" s="5"/>
      <c r="E732" s="5"/>
      <c r="F732" s="21">
        <v>3.61</v>
      </c>
      <c r="G732" s="5">
        <v>3.5</v>
      </c>
      <c r="H732" s="24">
        <f t="shared" ref="H732" si="336">+F732*0.965</f>
        <v>3.4836499999999999</v>
      </c>
      <c r="I732" s="27"/>
      <c r="J732" s="40">
        <f t="shared" ref="J732" si="337">+I732*H732</f>
        <v>0</v>
      </c>
    </row>
    <row r="733" spans="1:10" ht="24" customHeight="1">
      <c r="A733" s="37">
        <v>677602</v>
      </c>
      <c r="B733" s="9" t="s">
        <v>194</v>
      </c>
      <c r="C733" s="5">
        <v>8.89</v>
      </c>
      <c r="D733" s="5"/>
      <c r="E733" s="5"/>
      <c r="F733" s="21">
        <v>9.6199999999999992</v>
      </c>
      <c r="G733" s="5">
        <v>3.5</v>
      </c>
      <c r="H733" s="24">
        <f t="shared" si="328"/>
        <v>9.2832999999999988</v>
      </c>
      <c r="I733" s="27"/>
      <c r="J733" s="40">
        <f t="shared" si="329"/>
        <v>0</v>
      </c>
    </row>
    <row r="734" spans="1:10" s="14" customFormat="1" ht="24" customHeight="1">
      <c r="A734" s="340" t="s">
        <v>427</v>
      </c>
      <c r="B734" s="341"/>
      <c r="C734" s="341"/>
      <c r="D734" s="341"/>
      <c r="E734" s="341"/>
      <c r="F734" s="341"/>
      <c r="G734" s="341"/>
      <c r="H734" s="341"/>
      <c r="I734" s="29"/>
      <c r="J734" s="41"/>
    </row>
    <row r="735" spans="1:10" s="14" customFormat="1" ht="24" customHeight="1">
      <c r="A735" s="47">
        <v>719683</v>
      </c>
      <c r="B735" s="15" t="s">
        <v>498</v>
      </c>
      <c r="C735" s="13">
        <v>4.0999999999999996</v>
      </c>
      <c r="D735" s="16"/>
      <c r="E735" s="16">
        <f>+C735</f>
        <v>4.0999999999999996</v>
      </c>
      <c r="F735" s="16"/>
      <c r="G735" s="16"/>
      <c r="H735" s="25"/>
      <c r="I735" s="27"/>
      <c r="J735" s="48">
        <f>+I735*E735</f>
        <v>0</v>
      </c>
    </row>
    <row r="736" spans="1:10" s="14" customFormat="1" ht="24" customHeight="1">
      <c r="A736" s="47">
        <v>672817</v>
      </c>
      <c r="B736" s="15" t="s">
        <v>428</v>
      </c>
      <c r="C736" s="13">
        <v>4.4800000000000004</v>
      </c>
      <c r="D736" s="16"/>
      <c r="E736" s="16">
        <f>+C736</f>
        <v>4.4800000000000004</v>
      </c>
      <c r="F736" s="16"/>
      <c r="G736" s="16"/>
      <c r="H736" s="25"/>
      <c r="I736" s="27"/>
      <c r="J736" s="48">
        <f t="shared" ref="J736:J748" si="338">+I736*E736</f>
        <v>0</v>
      </c>
    </row>
    <row r="737" spans="1:10" s="14" customFormat="1" ht="24" customHeight="1">
      <c r="A737" s="47">
        <v>722406</v>
      </c>
      <c r="B737" s="15" t="s">
        <v>688</v>
      </c>
      <c r="C737" s="16">
        <v>30.69</v>
      </c>
      <c r="D737" s="16"/>
      <c r="E737" s="16">
        <f t="shared" ref="E737:E739" si="339">+C737</f>
        <v>30.69</v>
      </c>
      <c r="F737" s="21">
        <v>33.22</v>
      </c>
      <c r="G737" s="16">
        <v>3.5</v>
      </c>
      <c r="H737" s="25">
        <f t="shared" ref="H737:H738" si="340">+F737*0.965</f>
        <v>32.057299999999998</v>
      </c>
      <c r="I737" s="27"/>
      <c r="J737" s="48">
        <f t="shared" ref="J737:J738" si="341">+I737*H737</f>
        <v>0</v>
      </c>
    </row>
    <row r="738" spans="1:10" s="14" customFormat="1" ht="24" customHeight="1">
      <c r="A738" s="47">
        <v>722404</v>
      </c>
      <c r="B738" s="15" t="s">
        <v>689</v>
      </c>
      <c r="C738" s="16">
        <v>30.69</v>
      </c>
      <c r="D738" s="16"/>
      <c r="E738" s="16">
        <f t="shared" si="339"/>
        <v>30.69</v>
      </c>
      <c r="F738" s="21">
        <v>33.22</v>
      </c>
      <c r="G738" s="16">
        <v>3.5</v>
      </c>
      <c r="H738" s="25">
        <f t="shared" si="340"/>
        <v>32.057299999999998</v>
      </c>
      <c r="I738" s="27"/>
      <c r="J738" s="48">
        <f t="shared" si="341"/>
        <v>0</v>
      </c>
    </row>
    <row r="739" spans="1:10" s="14" customFormat="1" ht="24" hidden="1" customHeight="1">
      <c r="A739" s="47">
        <v>721933</v>
      </c>
      <c r="B739" s="15" t="s">
        <v>527</v>
      </c>
      <c r="C739" s="16">
        <v>35.880000000000003</v>
      </c>
      <c r="D739" s="16"/>
      <c r="E739" s="16">
        <f t="shared" si="339"/>
        <v>35.880000000000003</v>
      </c>
      <c r="F739" s="21"/>
      <c r="G739" s="16"/>
      <c r="H739" s="25"/>
      <c r="I739" s="27"/>
      <c r="J739" s="48">
        <f t="shared" si="338"/>
        <v>0</v>
      </c>
    </row>
    <row r="740" spans="1:10" s="14" customFormat="1" ht="24" customHeight="1">
      <c r="A740" s="47">
        <v>723603</v>
      </c>
      <c r="B740" s="15" t="s">
        <v>849</v>
      </c>
      <c r="C740" s="16">
        <v>48.6</v>
      </c>
      <c r="D740" s="16"/>
      <c r="E740" s="16">
        <f t="shared" ref="E740" si="342">+C740</f>
        <v>48.6</v>
      </c>
      <c r="F740" s="21">
        <v>52.6</v>
      </c>
      <c r="G740" s="16">
        <v>3.5</v>
      </c>
      <c r="H740" s="25">
        <f t="shared" ref="H740" si="343">+F740*0.965</f>
        <v>50.759</v>
      </c>
      <c r="I740" s="27"/>
      <c r="J740" s="48">
        <f t="shared" ref="J740" si="344">+I740*H740</f>
        <v>0</v>
      </c>
    </row>
    <row r="741" spans="1:10" s="14" customFormat="1" ht="24" customHeight="1">
      <c r="A741" s="47">
        <v>670166</v>
      </c>
      <c r="B741" s="15" t="s">
        <v>528</v>
      </c>
      <c r="C741" s="13">
        <v>6.1</v>
      </c>
      <c r="D741" s="16">
        <v>6</v>
      </c>
      <c r="E741" s="16">
        <f>+C741*0.94</f>
        <v>5.7339999999999991</v>
      </c>
      <c r="F741" s="16"/>
      <c r="G741" s="16"/>
      <c r="H741" s="25"/>
      <c r="I741" s="27"/>
      <c r="J741" s="48">
        <f t="shared" si="338"/>
        <v>0</v>
      </c>
    </row>
    <row r="742" spans="1:10" s="14" customFormat="1" ht="24" hidden="1" customHeight="1">
      <c r="A742" s="47">
        <v>965376</v>
      </c>
      <c r="B742" s="15" t="s">
        <v>529</v>
      </c>
      <c r="C742" s="13">
        <v>8.91</v>
      </c>
      <c r="D742" s="16">
        <v>10</v>
      </c>
      <c r="E742" s="16">
        <f>+C742*0.9</f>
        <v>8.0190000000000001</v>
      </c>
      <c r="F742" s="16"/>
      <c r="G742" s="16"/>
      <c r="H742" s="25"/>
      <c r="I742" s="27"/>
      <c r="J742" s="48">
        <f t="shared" si="338"/>
        <v>0</v>
      </c>
    </row>
    <row r="743" spans="1:10" s="14" customFormat="1" ht="24" customHeight="1">
      <c r="A743" s="47">
        <v>670174</v>
      </c>
      <c r="B743" s="15" t="s">
        <v>579</v>
      </c>
      <c r="C743" s="13">
        <v>2.5299999999999998</v>
      </c>
      <c r="D743" s="16">
        <v>12</v>
      </c>
      <c r="E743" s="16">
        <f>+C743*0.88</f>
        <v>2.2263999999999999</v>
      </c>
      <c r="F743" s="16"/>
      <c r="G743" s="16"/>
      <c r="H743" s="25"/>
      <c r="I743" s="27"/>
      <c r="J743" s="48">
        <f t="shared" si="338"/>
        <v>0</v>
      </c>
    </row>
    <row r="744" spans="1:10" s="14" customFormat="1" ht="24" customHeight="1">
      <c r="A744" s="47">
        <v>721933</v>
      </c>
      <c r="B744" s="15" t="s">
        <v>527</v>
      </c>
      <c r="C744" s="16">
        <v>35.880000000000003</v>
      </c>
      <c r="D744" s="16"/>
      <c r="E744" s="16"/>
      <c r="F744" s="21">
        <v>38.83</v>
      </c>
      <c r="G744" s="16">
        <v>3.5</v>
      </c>
      <c r="H744" s="25">
        <f t="shared" ref="H744:H746" si="345">+F744*0.965</f>
        <v>37.470949999999995</v>
      </c>
      <c r="I744" s="27"/>
      <c r="J744" s="48">
        <f t="shared" ref="J744:J746" si="346">+I744*H744</f>
        <v>0</v>
      </c>
    </row>
    <row r="745" spans="1:10" s="14" customFormat="1" ht="24" customHeight="1">
      <c r="A745" s="47">
        <v>984088</v>
      </c>
      <c r="B745" s="15" t="s">
        <v>766</v>
      </c>
      <c r="C745" s="16">
        <v>17.940000000000001</v>
      </c>
      <c r="D745" s="16"/>
      <c r="E745" s="16"/>
      <c r="F745" s="21">
        <v>19.420000000000002</v>
      </c>
      <c r="G745" s="16">
        <v>3.5</v>
      </c>
      <c r="H745" s="25">
        <f t="shared" si="345"/>
        <v>18.740300000000001</v>
      </c>
      <c r="I745" s="27"/>
      <c r="J745" s="48">
        <f t="shared" si="346"/>
        <v>0</v>
      </c>
    </row>
    <row r="746" spans="1:10" s="14" customFormat="1" ht="24" customHeight="1">
      <c r="A746" s="47">
        <v>722407</v>
      </c>
      <c r="B746" s="15" t="s">
        <v>767</v>
      </c>
      <c r="C746" s="16">
        <v>29</v>
      </c>
      <c r="D746" s="16"/>
      <c r="E746" s="16"/>
      <c r="F746" s="21">
        <v>31.29</v>
      </c>
      <c r="G746" s="16">
        <v>3.5</v>
      </c>
      <c r="H746" s="25">
        <f t="shared" si="345"/>
        <v>30.194849999999999</v>
      </c>
      <c r="I746" s="27"/>
      <c r="J746" s="48">
        <f t="shared" si="346"/>
        <v>0</v>
      </c>
    </row>
    <row r="747" spans="1:10" s="14" customFormat="1" ht="24" customHeight="1">
      <c r="A747" s="47">
        <v>655498</v>
      </c>
      <c r="B747" s="15" t="s">
        <v>580</v>
      </c>
      <c r="C747" s="13">
        <v>4.47</v>
      </c>
      <c r="D747" s="16">
        <v>9</v>
      </c>
      <c r="E747" s="16">
        <f>+C747*0.91</f>
        <v>4.0677000000000003</v>
      </c>
      <c r="F747" s="16"/>
      <c r="G747" s="16"/>
      <c r="H747" s="25"/>
      <c r="I747" s="27"/>
      <c r="J747" s="48">
        <f t="shared" si="338"/>
        <v>0</v>
      </c>
    </row>
    <row r="748" spans="1:10" s="14" customFormat="1" ht="24" customHeight="1">
      <c r="A748" s="47">
        <v>874776</v>
      </c>
      <c r="B748" s="15" t="s">
        <v>581</v>
      </c>
      <c r="C748" s="13">
        <v>6.46</v>
      </c>
      <c r="D748" s="16">
        <v>1</v>
      </c>
      <c r="E748" s="16">
        <f>+C748*0.99</f>
        <v>6.3953999999999995</v>
      </c>
      <c r="F748" s="16"/>
      <c r="G748" s="16"/>
      <c r="H748" s="25"/>
      <c r="I748" s="27"/>
      <c r="J748" s="48">
        <f t="shared" si="338"/>
        <v>0</v>
      </c>
    </row>
    <row r="749" spans="1:10" s="14" customFormat="1" ht="24" customHeight="1">
      <c r="A749" s="47">
        <v>707347</v>
      </c>
      <c r="B749" s="15" t="s">
        <v>531</v>
      </c>
      <c r="C749" s="16">
        <v>4.2</v>
      </c>
      <c r="D749" s="16"/>
      <c r="E749" s="16"/>
      <c r="F749" s="21">
        <v>4.54</v>
      </c>
      <c r="G749" s="16">
        <v>3.5</v>
      </c>
      <c r="H749" s="25">
        <f t="shared" ref="H749:H753" si="347">+F749*0.965</f>
        <v>4.3811</v>
      </c>
      <c r="I749" s="27"/>
      <c r="J749" s="48">
        <f t="shared" ref="J749:J754" si="348">+I749*H749</f>
        <v>0</v>
      </c>
    </row>
    <row r="750" spans="1:10" s="14" customFormat="1" ht="24" customHeight="1">
      <c r="A750" s="47">
        <v>700558</v>
      </c>
      <c r="B750" s="15" t="s">
        <v>532</v>
      </c>
      <c r="C750" s="16">
        <v>6.61</v>
      </c>
      <c r="D750" s="16"/>
      <c r="E750" s="16"/>
      <c r="F750" s="21">
        <v>7.15</v>
      </c>
      <c r="G750" s="16">
        <v>3.5</v>
      </c>
      <c r="H750" s="25">
        <f t="shared" si="347"/>
        <v>6.89975</v>
      </c>
      <c r="I750" s="27"/>
      <c r="J750" s="48">
        <f t="shared" si="348"/>
        <v>0</v>
      </c>
    </row>
    <row r="751" spans="1:10" s="14" customFormat="1" ht="24" customHeight="1">
      <c r="A751" s="47">
        <v>707348</v>
      </c>
      <c r="B751" s="15" t="s">
        <v>533</v>
      </c>
      <c r="C751" s="16">
        <v>8.4</v>
      </c>
      <c r="D751" s="16"/>
      <c r="E751" s="16"/>
      <c r="F751" s="21">
        <v>9.09</v>
      </c>
      <c r="G751" s="16">
        <v>3.5</v>
      </c>
      <c r="H751" s="25">
        <f t="shared" si="347"/>
        <v>8.7718499999999988</v>
      </c>
      <c r="I751" s="27"/>
      <c r="J751" s="48">
        <f t="shared" si="348"/>
        <v>0</v>
      </c>
    </row>
    <row r="752" spans="1:10" s="14" customFormat="1" ht="24" customHeight="1">
      <c r="A752" s="37"/>
      <c r="B752" s="9" t="s">
        <v>564</v>
      </c>
      <c r="C752" s="5"/>
      <c r="D752" s="5"/>
      <c r="E752" s="5"/>
      <c r="F752" s="5"/>
      <c r="G752" s="5"/>
      <c r="H752" s="24"/>
      <c r="I752" s="27"/>
      <c r="J752" s="40">
        <f t="shared" si="348"/>
        <v>0</v>
      </c>
    </row>
    <row r="753" spans="1:10" s="14" customFormat="1" ht="24" customHeight="1">
      <c r="A753" s="47">
        <v>700523</v>
      </c>
      <c r="B753" s="15" t="s">
        <v>534</v>
      </c>
      <c r="C753" s="16">
        <v>7.17</v>
      </c>
      <c r="D753" s="16"/>
      <c r="E753" s="16"/>
      <c r="F753" s="21">
        <v>7.76</v>
      </c>
      <c r="G753" s="16">
        <v>3.5</v>
      </c>
      <c r="H753" s="25">
        <f t="shared" si="347"/>
        <v>7.4883999999999995</v>
      </c>
      <c r="I753" s="27"/>
      <c r="J753" s="48">
        <f t="shared" si="348"/>
        <v>0</v>
      </c>
    </row>
    <row r="754" spans="1:10" s="14" customFormat="1" ht="24" customHeight="1">
      <c r="A754" s="47">
        <v>665872</v>
      </c>
      <c r="B754" s="15" t="s">
        <v>530</v>
      </c>
      <c r="C754" s="16">
        <v>21.63</v>
      </c>
      <c r="D754" s="16"/>
      <c r="E754" s="16"/>
      <c r="F754" s="21">
        <v>23.41</v>
      </c>
      <c r="G754" s="16">
        <v>3.5</v>
      </c>
      <c r="H754" s="25">
        <f>+F754*0.965</f>
        <v>22.59065</v>
      </c>
      <c r="I754" s="27"/>
      <c r="J754" s="48">
        <f t="shared" si="348"/>
        <v>0</v>
      </c>
    </row>
    <row r="755" spans="1:10" s="14" customFormat="1" ht="24" customHeight="1">
      <c r="A755" s="340" t="s">
        <v>565</v>
      </c>
      <c r="B755" s="341"/>
      <c r="C755" s="341"/>
      <c r="D755" s="341"/>
      <c r="E755" s="341"/>
      <c r="F755" s="341"/>
      <c r="G755" s="341"/>
      <c r="H755" s="341"/>
      <c r="I755" s="29"/>
      <c r="J755" s="41"/>
    </row>
    <row r="756" spans="1:10" s="14" customFormat="1" ht="24" customHeight="1">
      <c r="A756" s="47">
        <v>200769</v>
      </c>
      <c r="B756" s="15" t="s">
        <v>566</v>
      </c>
      <c r="C756" s="13">
        <v>15.61</v>
      </c>
      <c r="D756" s="16"/>
      <c r="E756" s="16">
        <f t="shared" ref="E756:E761" si="349">+C756</f>
        <v>15.61</v>
      </c>
      <c r="F756" s="16"/>
      <c r="G756" s="16"/>
      <c r="H756" s="25"/>
      <c r="I756" s="27"/>
      <c r="J756" s="48">
        <f t="shared" ref="J756:J761" si="350">+I756*E756</f>
        <v>0</v>
      </c>
    </row>
    <row r="757" spans="1:10" s="14" customFormat="1" ht="24" customHeight="1">
      <c r="A757" s="47">
        <v>200770</v>
      </c>
      <c r="B757" s="15" t="s">
        <v>567</v>
      </c>
      <c r="C757" s="13">
        <v>14.93</v>
      </c>
      <c r="D757" s="16"/>
      <c r="E757" s="16">
        <f t="shared" si="349"/>
        <v>14.93</v>
      </c>
      <c r="F757" s="16"/>
      <c r="G757" s="16"/>
      <c r="H757" s="25"/>
      <c r="I757" s="27"/>
      <c r="J757" s="48">
        <f t="shared" si="350"/>
        <v>0</v>
      </c>
    </row>
    <row r="758" spans="1:10" s="14" customFormat="1" ht="24" customHeight="1">
      <c r="A758" s="47">
        <v>200771</v>
      </c>
      <c r="B758" s="15" t="s">
        <v>568</v>
      </c>
      <c r="C758" s="13">
        <v>14.93</v>
      </c>
      <c r="D758" s="16"/>
      <c r="E758" s="16">
        <f t="shared" si="349"/>
        <v>14.93</v>
      </c>
      <c r="F758" s="16"/>
      <c r="G758" s="16"/>
      <c r="H758" s="25"/>
      <c r="I758" s="27"/>
      <c r="J758" s="48">
        <f t="shared" si="350"/>
        <v>0</v>
      </c>
    </row>
    <row r="759" spans="1:10" s="14" customFormat="1" ht="24" customHeight="1">
      <c r="A759" s="47">
        <v>201240</v>
      </c>
      <c r="B759" s="15" t="s">
        <v>569</v>
      </c>
      <c r="C759" s="13">
        <v>3.1</v>
      </c>
      <c r="D759" s="16"/>
      <c r="E759" s="16">
        <f t="shared" si="349"/>
        <v>3.1</v>
      </c>
      <c r="F759" s="16"/>
      <c r="G759" s="16"/>
      <c r="H759" s="25"/>
      <c r="I759" s="27"/>
      <c r="J759" s="48">
        <f t="shared" si="350"/>
        <v>0</v>
      </c>
    </row>
    <row r="760" spans="1:10" s="14" customFormat="1" ht="24" customHeight="1">
      <c r="A760" s="47">
        <v>201239</v>
      </c>
      <c r="B760" s="15" t="s">
        <v>570</v>
      </c>
      <c r="C760" s="13">
        <v>2.76</v>
      </c>
      <c r="D760" s="16"/>
      <c r="E760" s="16">
        <f t="shared" si="349"/>
        <v>2.76</v>
      </c>
      <c r="F760" s="16"/>
      <c r="G760" s="16"/>
      <c r="H760" s="25"/>
      <c r="I760" s="27"/>
      <c r="J760" s="48">
        <f t="shared" si="350"/>
        <v>0</v>
      </c>
    </row>
    <row r="761" spans="1:10" s="14" customFormat="1" ht="24" customHeight="1">
      <c r="A761" s="47">
        <v>201238</v>
      </c>
      <c r="B761" s="15" t="s">
        <v>571</v>
      </c>
      <c r="C761" s="13">
        <v>3.1</v>
      </c>
      <c r="D761" s="16"/>
      <c r="E761" s="16">
        <f t="shared" si="349"/>
        <v>3.1</v>
      </c>
      <c r="F761" s="16"/>
      <c r="G761" s="16"/>
      <c r="H761" s="25"/>
      <c r="I761" s="27"/>
      <c r="J761" s="48">
        <f t="shared" si="350"/>
        <v>0</v>
      </c>
    </row>
    <row r="762" spans="1:10" s="14" customFormat="1" ht="24" customHeight="1">
      <c r="A762" s="47">
        <v>203744</v>
      </c>
      <c r="B762" s="15" t="s">
        <v>574</v>
      </c>
      <c r="C762" s="13">
        <v>20.11</v>
      </c>
      <c r="D762" s="16"/>
      <c r="E762" s="16">
        <f t="shared" ref="E762:E764" si="351">+C762</f>
        <v>20.11</v>
      </c>
      <c r="F762" s="16"/>
      <c r="G762" s="16"/>
      <c r="H762" s="25"/>
      <c r="I762" s="27"/>
      <c r="J762" s="48">
        <f t="shared" ref="J762:J764" si="352">+I762*E762</f>
        <v>0</v>
      </c>
    </row>
    <row r="763" spans="1:10" s="14" customFormat="1" ht="24" customHeight="1">
      <c r="A763" s="47">
        <v>203746</v>
      </c>
      <c r="B763" s="15" t="s">
        <v>575</v>
      </c>
      <c r="C763" s="13">
        <v>18.75</v>
      </c>
      <c r="D763" s="16"/>
      <c r="E763" s="16">
        <f t="shared" si="351"/>
        <v>18.75</v>
      </c>
      <c r="F763" s="16"/>
      <c r="G763" s="16"/>
      <c r="H763" s="25"/>
      <c r="I763" s="27"/>
      <c r="J763" s="48">
        <f t="shared" si="352"/>
        <v>0</v>
      </c>
    </row>
    <row r="764" spans="1:10" s="14" customFormat="1" ht="24" customHeight="1">
      <c r="A764" s="47">
        <v>203747</v>
      </c>
      <c r="B764" s="15" t="s">
        <v>576</v>
      </c>
      <c r="C764" s="13">
        <v>18.75</v>
      </c>
      <c r="D764" s="16"/>
      <c r="E764" s="16">
        <f t="shared" si="351"/>
        <v>18.75</v>
      </c>
      <c r="F764" s="16"/>
      <c r="G764" s="16"/>
      <c r="H764" s="25"/>
      <c r="I764" s="27"/>
      <c r="J764" s="48">
        <f t="shared" si="352"/>
        <v>0</v>
      </c>
    </row>
    <row r="765" spans="1:10" s="14" customFormat="1" ht="24" customHeight="1">
      <c r="A765" s="47" t="s">
        <v>629</v>
      </c>
      <c r="B765" s="15" t="s">
        <v>630</v>
      </c>
      <c r="C765" s="13">
        <v>2.0099999999999998</v>
      </c>
      <c r="D765" s="16"/>
      <c r="E765" s="16">
        <f t="shared" ref="E765:E771" si="353">+C765</f>
        <v>2.0099999999999998</v>
      </c>
      <c r="F765" s="16"/>
      <c r="G765" s="16"/>
      <c r="H765" s="25"/>
      <c r="I765" s="27"/>
      <c r="J765" s="48">
        <f t="shared" ref="J765:J771" si="354">+I765*E765</f>
        <v>0</v>
      </c>
    </row>
    <row r="766" spans="1:10" s="14" customFormat="1" ht="24" customHeight="1">
      <c r="A766" s="47" t="s">
        <v>631</v>
      </c>
      <c r="B766" s="15" t="s">
        <v>632</v>
      </c>
      <c r="C766" s="13">
        <v>0.92</v>
      </c>
      <c r="D766" s="16"/>
      <c r="E766" s="16">
        <f t="shared" si="353"/>
        <v>0.92</v>
      </c>
      <c r="F766" s="16"/>
      <c r="G766" s="16"/>
      <c r="H766" s="25"/>
      <c r="I766" s="27"/>
      <c r="J766" s="48">
        <f t="shared" si="354"/>
        <v>0</v>
      </c>
    </row>
    <row r="767" spans="1:10" s="14" customFormat="1" ht="24" customHeight="1">
      <c r="A767" s="47" t="s">
        <v>633</v>
      </c>
      <c r="B767" s="15" t="s">
        <v>634</v>
      </c>
      <c r="C767" s="13">
        <v>0.99</v>
      </c>
      <c r="D767" s="16"/>
      <c r="E767" s="16">
        <f t="shared" si="353"/>
        <v>0.99</v>
      </c>
      <c r="F767" s="16"/>
      <c r="G767" s="16"/>
      <c r="H767" s="25"/>
      <c r="I767" s="27"/>
      <c r="J767" s="48">
        <f t="shared" si="354"/>
        <v>0</v>
      </c>
    </row>
    <row r="768" spans="1:10" s="14" customFormat="1" ht="24" customHeight="1">
      <c r="A768" s="47" t="s">
        <v>772</v>
      </c>
      <c r="B768" s="15" t="s">
        <v>773</v>
      </c>
      <c r="C768" s="13">
        <v>0.92</v>
      </c>
      <c r="D768" s="16"/>
      <c r="E768" s="16">
        <f t="shared" si="353"/>
        <v>0.92</v>
      </c>
      <c r="F768" s="16"/>
      <c r="G768" s="16"/>
      <c r="H768" s="25"/>
      <c r="I768" s="27"/>
      <c r="J768" s="48">
        <f t="shared" si="354"/>
        <v>0</v>
      </c>
    </row>
    <row r="769" spans="1:10" s="14" customFormat="1" ht="24" customHeight="1">
      <c r="A769" s="47" t="s">
        <v>674</v>
      </c>
      <c r="B769" s="15" t="s">
        <v>675</v>
      </c>
      <c r="C769" s="13">
        <v>0.99</v>
      </c>
      <c r="D769" s="16"/>
      <c r="E769" s="16">
        <f t="shared" ref="E769" si="355">+C769</f>
        <v>0.99</v>
      </c>
      <c r="F769" s="16"/>
      <c r="G769" s="16"/>
      <c r="H769" s="25"/>
      <c r="I769" s="27"/>
      <c r="J769" s="48">
        <f t="shared" ref="J769" si="356">+I769*E769</f>
        <v>0</v>
      </c>
    </row>
    <row r="770" spans="1:10" s="14" customFormat="1" ht="24" customHeight="1">
      <c r="A770" s="47" t="s">
        <v>635</v>
      </c>
      <c r="B770" s="15" t="s">
        <v>636</v>
      </c>
      <c r="C770" s="13">
        <v>1.33</v>
      </c>
      <c r="D770" s="16"/>
      <c r="E770" s="16">
        <f t="shared" si="353"/>
        <v>1.33</v>
      </c>
      <c r="F770" s="16"/>
      <c r="G770" s="16"/>
      <c r="H770" s="25"/>
      <c r="I770" s="27"/>
      <c r="J770" s="48">
        <f t="shared" si="354"/>
        <v>0</v>
      </c>
    </row>
    <row r="771" spans="1:10" s="14" customFormat="1" ht="24" customHeight="1">
      <c r="A771" s="47" t="s">
        <v>637</v>
      </c>
      <c r="B771" s="15" t="s">
        <v>638</v>
      </c>
      <c r="C771" s="13">
        <v>1.33</v>
      </c>
      <c r="D771" s="16"/>
      <c r="E771" s="16">
        <f t="shared" si="353"/>
        <v>1.33</v>
      </c>
      <c r="F771" s="16"/>
      <c r="G771" s="16"/>
      <c r="H771" s="25"/>
      <c r="I771" s="27"/>
      <c r="J771" s="48">
        <f t="shared" si="354"/>
        <v>0</v>
      </c>
    </row>
    <row r="772" spans="1:10" s="14" customFormat="1" ht="24" customHeight="1">
      <c r="A772" s="47" t="s">
        <v>672</v>
      </c>
      <c r="B772" s="15" t="s">
        <v>673</v>
      </c>
      <c r="C772" s="13">
        <v>1.33</v>
      </c>
      <c r="D772" s="16"/>
      <c r="E772" s="16">
        <f t="shared" ref="E772:E773" si="357">+C772</f>
        <v>1.33</v>
      </c>
      <c r="F772" s="16"/>
      <c r="G772" s="16"/>
      <c r="H772" s="25"/>
      <c r="I772" s="27"/>
      <c r="J772" s="48">
        <f t="shared" ref="J772:J773" si="358">+I772*E772</f>
        <v>0</v>
      </c>
    </row>
    <row r="773" spans="1:10" s="14" customFormat="1" ht="24" customHeight="1">
      <c r="A773" s="47" t="s">
        <v>770</v>
      </c>
      <c r="B773" s="15" t="s">
        <v>771</v>
      </c>
      <c r="C773" s="13">
        <v>1.33</v>
      </c>
      <c r="D773" s="16"/>
      <c r="E773" s="16">
        <f t="shared" si="357"/>
        <v>1.33</v>
      </c>
      <c r="F773" s="16"/>
      <c r="G773" s="16"/>
      <c r="H773" s="25"/>
      <c r="I773" s="27"/>
      <c r="J773" s="48">
        <f t="shared" si="358"/>
        <v>0</v>
      </c>
    </row>
    <row r="774" spans="1:10" s="14" customFormat="1" ht="24" customHeight="1">
      <c r="A774" s="47" t="s">
        <v>774</v>
      </c>
      <c r="B774" s="15" t="s">
        <v>777</v>
      </c>
      <c r="C774" s="13">
        <v>1.84</v>
      </c>
      <c r="D774" s="16"/>
      <c r="E774" s="16">
        <f t="shared" ref="E774:E776" si="359">+C774</f>
        <v>1.84</v>
      </c>
      <c r="F774" s="16"/>
      <c r="G774" s="16"/>
      <c r="H774" s="25"/>
      <c r="I774" s="27"/>
      <c r="J774" s="48">
        <f t="shared" ref="J774:J776" si="360">+I774*E774</f>
        <v>0</v>
      </c>
    </row>
    <row r="775" spans="1:10" s="14" customFormat="1" ht="24" customHeight="1">
      <c r="A775" s="47" t="s">
        <v>775</v>
      </c>
      <c r="B775" s="15" t="s">
        <v>778</v>
      </c>
      <c r="C775" s="13">
        <v>1.84</v>
      </c>
      <c r="D775" s="16"/>
      <c r="E775" s="16">
        <f t="shared" si="359"/>
        <v>1.84</v>
      </c>
      <c r="F775" s="16"/>
      <c r="G775" s="16"/>
      <c r="H775" s="25"/>
      <c r="I775" s="27"/>
      <c r="J775" s="48">
        <f t="shared" si="360"/>
        <v>0</v>
      </c>
    </row>
    <row r="776" spans="1:10" s="14" customFormat="1" ht="24" customHeight="1">
      <c r="A776" s="47" t="s">
        <v>776</v>
      </c>
      <c r="B776" s="15" t="s">
        <v>779</v>
      </c>
      <c r="C776" s="13">
        <v>2.11</v>
      </c>
      <c r="D776" s="16"/>
      <c r="E776" s="16">
        <f t="shared" si="359"/>
        <v>2.11</v>
      </c>
      <c r="F776" s="16"/>
      <c r="G776" s="16"/>
      <c r="H776" s="25"/>
      <c r="I776" s="27"/>
      <c r="J776" s="48">
        <f t="shared" si="360"/>
        <v>0</v>
      </c>
    </row>
    <row r="777" spans="1:10" s="14" customFormat="1" ht="24" customHeight="1">
      <c r="A777" s="47" t="s">
        <v>714</v>
      </c>
      <c r="B777" s="15" t="s">
        <v>715</v>
      </c>
      <c r="C777" s="13">
        <v>5.78</v>
      </c>
      <c r="D777" s="16"/>
      <c r="E777" s="16">
        <f t="shared" ref="E777:E781" si="361">+C777</f>
        <v>5.78</v>
      </c>
      <c r="F777" s="16"/>
      <c r="G777" s="16"/>
      <c r="H777" s="25"/>
      <c r="I777" s="27"/>
      <c r="J777" s="48">
        <f t="shared" ref="J777:J781" si="362">+I777*E777</f>
        <v>0</v>
      </c>
    </row>
    <row r="778" spans="1:10" s="14" customFormat="1" ht="24" customHeight="1">
      <c r="A778" s="47" t="s">
        <v>716</v>
      </c>
      <c r="B778" s="15" t="s">
        <v>717</v>
      </c>
      <c r="C778" s="13">
        <v>5.78</v>
      </c>
      <c r="D778" s="16"/>
      <c r="E778" s="16">
        <f t="shared" si="361"/>
        <v>5.78</v>
      </c>
      <c r="F778" s="16"/>
      <c r="G778" s="16"/>
      <c r="H778" s="25"/>
      <c r="I778" s="27"/>
      <c r="J778" s="48">
        <f t="shared" si="362"/>
        <v>0</v>
      </c>
    </row>
    <row r="779" spans="1:10" s="14" customFormat="1" ht="24" customHeight="1">
      <c r="A779" s="47" t="s">
        <v>718</v>
      </c>
      <c r="B779" s="15" t="s">
        <v>719</v>
      </c>
      <c r="C779" s="13">
        <v>5.78</v>
      </c>
      <c r="D779" s="16"/>
      <c r="E779" s="16">
        <f t="shared" si="361"/>
        <v>5.78</v>
      </c>
      <c r="F779" s="16"/>
      <c r="G779" s="16"/>
      <c r="H779" s="25"/>
      <c r="I779" s="27"/>
      <c r="J779" s="48">
        <f t="shared" si="362"/>
        <v>0</v>
      </c>
    </row>
    <row r="780" spans="1:10" s="14" customFormat="1" ht="24" customHeight="1">
      <c r="A780" s="47" t="s">
        <v>720</v>
      </c>
      <c r="B780" s="15" t="s">
        <v>721</v>
      </c>
      <c r="C780" s="13">
        <v>6.6</v>
      </c>
      <c r="D780" s="16"/>
      <c r="E780" s="16">
        <f t="shared" si="361"/>
        <v>6.6</v>
      </c>
      <c r="F780" s="16"/>
      <c r="G780" s="16"/>
      <c r="H780" s="25"/>
      <c r="I780" s="27"/>
      <c r="J780" s="48">
        <f t="shared" si="362"/>
        <v>0</v>
      </c>
    </row>
    <row r="781" spans="1:10" s="14" customFormat="1" ht="24" customHeight="1">
      <c r="A781" s="47" t="s">
        <v>722</v>
      </c>
      <c r="B781" s="15" t="s">
        <v>723</v>
      </c>
      <c r="C781" s="13">
        <v>7.02</v>
      </c>
      <c r="D781" s="16"/>
      <c r="E781" s="16">
        <f t="shared" si="361"/>
        <v>7.02</v>
      </c>
      <c r="F781" s="16"/>
      <c r="G781" s="16"/>
      <c r="H781" s="25"/>
      <c r="I781" s="27"/>
      <c r="J781" s="48">
        <f t="shared" si="362"/>
        <v>0</v>
      </c>
    </row>
    <row r="782" spans="1:10" s="14" customFormat="1" ht="24" customHeight="1">
      <c r="A782" s="340" t="s">
        <v>393</v>
      </c>
      <c r="B782" s="341"/>
      <c r="C782" s="341"/>
      <c r="D782" s="341"/>
      <c r="E782" s="341"/>
      <c r="F782" s="341"/>
      <c r="G782" s="341"/>
      <c r="H782" s="341"/>
      <c r="I782" s="29"/>
      <c r="J782" s="41"/>
    </row>
    <row r="783" spans="1:10" s="14" customFormat="1" ht="24" customHeight="1">
      <c r="A783" s="47">
        <v>688033</v>
      </c>
      <c r="B783" s="15" t="s">
        <v>741</v>
      </c>
      <c r="C783" s="13">
        <v>12.78</v>
      </c>
      <c r="D783" s="16">
        <v>2.5</v>
      </c>
      <c r="E783" s="16">
        <f>+C783*0.975</f>
        <v>12.4605</v>
      </c>
      <c r="F783" s="16"/>
      <c r="G783" s="16"/>
      <c r="H783" s="25"/>
      <c r="I783" s="27"/>
      <c r="J783" s="48">
        <f t="shared" ref="J783:J788" si="363">+I783*E783</f>
        <v>0</v>
      </c>
    </row>
    <row r="784" spans="1:10" s="14" customFormat="1" ht="24" customHeight="1">
      <c r="A784" s="47">
        <v>954974</v>
      </c>
      <c r="B784" s="15" t="s">
        <v>742</v>
      </c>
      <c r="C784" s="13">
        <v>6.04</v>
      </c>
      <c r="D784" s="16">
        <v>3.5</v>
      </c>
      <c r="E784" s="16">
        <f>+C784*0.965</f>
        <v>5.8285999999999998</v>
      </c>
      <c r="F784" s="16"/>
      <c r="G784" s="16"/>
      <c r="H784" s="25"/>
      <c r="I784" s="27"/>
      <c r="J784" s="48">
        <f t="shared" si="363"/>
        <v>0</v>
      </c>
    </row>
    <row r="785" spans="1:10" s="14" customFormat="1" ht="24" customHeight="1">
      <c r="A785" s="47">
        <v>954925</v>
      </c>
      <c r="B785" s="15" t="s">
        <v>394</v>
      </c>
      <c r="C785" s="13">
        <v>6.34</v>
      </c>
      <c r="D785" s="16"/>
      <c r="E785" s="16">
        <f>+C785</f>
        <v>6.34</v>
      </c>
      <c r="F785" s="16"/>
      <c r="G785" s="16"/>
      <c r="H785" s="25"/>
      <c r="I785" s="27"/>
      <c r="J785" s="48">
        <f t="shared" si="363"/>
        <v>0</v>
      </c>
    </row>
    <row r="786" spans="1:10" s="14" customFormat="1" ht="24" customHeight="1">
      <c r="A786" s="47">
        <v>995746</v>
      </c>
      <c r="B786" s="15" t="s">
        <v>429</v>
      </c>
      <c r="C786" s="13">
        <v>5.03</v>
      </c>
      <c r="D786" s="16">
        <v>15</v>
      </c>
      <c r="E786" s="16">
        <f>C786*0.85</f>
        <v>4.2755000000000001</v>
      </c>
      <c r="F786" s="16"/>
      <c r="G786" s="16"/>
      <c r="H786" s="25"/>
      <c r="I786" s="27"/>
      <c r="J786" s="48">
        <f t="shared" si="363"/>
        <v>0</v>
      </c>
    </row>
    <row r="787" spans="1:10" s="14" customFormat="1" ht="24" customHeight="1">
      <c r="A787" s="47">
        <v>965970</v>
      </c>
      <c r="B787" s="15" t="s">
        <v>430</v>
      </c>
      <c r="C787" s="13">
        <v>5.93</v>
      </c>
      <c r="D787" s="16"/>
      <c r="E787" s="16">
        <f t="shared" ref="E787:E789" si="364">+C787</f>
        <v>5.93</v>
      </c>
      <c r="F787" s="16"/>
      <c r="G787" s="16"/>
      <c r="H787" s="25"/>
      <c r="I787" s="27"/>
      <c r="J787" s="48">
        <f t="shared" si="363"/>
        <v>0</v>
      </c>
    </row>
    <row r="788" spans="1:10" s="14" customFormat="1" ht="24" customHeight="1">
      <c r="A788" s="47">
        <v>725036</v>
      </c>
      <c r="B788" s="15" t="s">
        <v>431</v>
      </c>
      <c r="C788" s="13">
        <v>5.6</v>
      </c>
      <c r="D788" s="16"/>
      <c r="E788" s="16">
        <f t="shared" si="364"/>
        <v>5.6</v>
      </c>
      <c r="F788" s="16"/>
      <c r="G788" s="16"/>
      <c r="H788" s="25"/>
      <c r="I788" s="27"/>
      <c r="J788" s="48">
        <f t="shared" si="363"/>
        <v>0</v>
      </c>
    </row>
    <row r="789" spans="1:10" s="14" customFormat="1" ht="24" customHeight="1">
      <c r="A789" s="47">
        <v>712786</v>
      </c>
      <c r="B789" s="15" t="s">
        <v>454</v>
      </c>
      <c r="C789" s="13">
        <v>3.33</v>
      </c>
      <c r="D789" s="16"/>
      <c r="E789" s="16">
        <f t="shared" si="364"/>
        <v>3.33</v>
      </c>
      <c r="F789" s="16"/>
      <c r="G789" s="16"/>
      <c r="H789" s="25"/>
      <c r="I789" s="27"/>
      <c r="J789" s="48">
        <f t="shared" ref="J789:J790" si="365">+I789*E789</f>
        <v>0</v>
      </c>
    </row>
    <row r="790" spans="1:10" s="14" customFormat="1" ht="24" customHeight="1">
      <c r="A790" s="47">
        <v>651877</v>
      </c>
      <c r="B790" s="15" t="s">
        <v>474</v>
      </c>
      <c r="C790" s="13">
        <v>6.26</v>
      </c>
      <c r="D790" s="16">
        <v>15</v>
      </c>
      <c r="E790" s="16">
        <f>+C790*0.85</f>
        <v>5.3209999999999997</v>
      </c>
      <c r="F790" s="16"/>
      <c r="G790" s="16"/>
      <c r="H790" s="25"/>
      <c r="I790" s="27"/>
      <c r="J790" s="48">
        <f t="shared" si="365"/>
        <v>0</v>
      </c>
    </row>
    <row r="791" spans="1:10" s="14" customFormat="1" ht="24" customHeight="1">
      <c r="A791" s="47">
        <v>712729</v>
      </c>
      <c r="B791" s="15" t="s">
        <v>490</v>
      </c>
      <c r="C791" s="13">
        <v>3.82</v>
      </c>
      <c r="D791" s="16">
        <v>5</v>
      </c>
      <c r="E791" s="16">
        <f>+C791*0.95</f>
        <v>3.6289999999999996</v>
      </c>
      <c r="F791" s="16"/>
      <c r="G791" s="16"/>
      <c r="H791" s="25"/>
      <c r="I791" s="27"/>
      <c r="J791" s="48">
        <f t="shared" ref="J791:J793" si="366">+I791*E791</f>
        <v>0</v>
      </c>
    </row>
    <row r="792" spans="1:10" s="14" customFormat="1" ht="24" customHeight="1">
      <c r="A792" s="47">
        <v>966812</v>
      </c>
      <c r="B792" s="15" t="s">
        <v>786</v>
      </c>
      <c r="C792" s="13">
        <v>5.93</v>
      </c>
      <c r="D792" s="16"/>
      <c r="E792" s="16">
        <f>+C792</f>
        <v>5.93</v>
      </c>
      <c r="F792" s="16"/>
      <c r="G792" s="16"/>
      <c r="H792" s="25"/>
      <c r="I792" s="27"/>
      <c r="J792" s="48">
        <f t="shared" ref="J792" si="367">+I792*E792</f>
        <v>0</v>
      </c>
    </row>
    <row r="793" spans="1:10" s="14" customFormat="1" ht="24" customHeight="1">
      <c r="A793" s="47">
        <v>965970</v>
      </c>
      <c r="B793" s="15" t="s">
        <v>535</v>
      </c>
      <c r="C793" s="13">
        <v>5.93</v>
      </c>
      <c r="D793" s="16">
        <v>4</v>
      </c>
      <c r="E793" s="16">
        <f>+C793*0.96</f>
        <v>5.6927999999999992</v>
      </c>
      <c r="F793" s="16"/>
      <c r="G793" s="16"/>
      <c r="H793" s="25"/>
      <c r="I793" s="27"/>
      <c r="J793" s="48">
        <f t="shared" si="366"/>
        <v>0</v>
      </c>
    </row>
    <row r="794" spans="1:10" s="14" customFormat="1" ht="24" customHeight="1">
      <c r="A794" s="47">
        <v>701299</v>
      </c>
      <c r="B794" s="15" t="s">
        <v>536</v>
      </c>
      <c r="C794" s="13">
        <v>6.4</v>
      </c>
      <c r="D794" s="16"/>
      <c r="E794" s="16">
        <f t="shared" ref="E794" si="368">+C794</f>
        <v>6.4</v>
      </c>
      <c r="F794" s="16"/>
      <c r="G794" s="16"/>
      <c r="H794" s="25"/>
      <c r="I794" s="27"/>
      <c r="J794" s="48">
        <f t="shared" ref="J794" si="369">+I794*E794</f>
        <v>0</v>
      </c>
    </row>
    <row r="795" spans="1:10" s="14" customFormat="1" ht="24" customHeight="1">
      <c r="A795" s="340" t="s">
        <v>391</v>
      </c>
      <c r="B795" s="341"/>
      <c r="C795" s="341"/>
      <c r="D795" s="341"/>
      <c r="E795" s="341"/>
      <c r="F795" s="341"/>
      <c r="G795" s="341"/>
      <c r="H795" s="341"/>
      <c r="I795" s="29"/>
      <c r="J795" s="41"/>
    </row>
    <row r="796" spans="1:10" s="14" customFormat="1" ht="24" hidden="1" customHeight="1">
      <c r="A796" s="47">
        <v>723926</v>
      </c>
      <c r="B796" s="15" t="s">
        <v>392</v>
      </c>
      <c r="C796" s="16">
        <v>6.05</v>
      </c>
      <c r="D796" s="16">
        <v>5</v>
      </c>
      <c r="E796" s="16">
        <f>+C796*0.95</f>
        <v>5.7474999999999996</v>
      </c>
      <c r="F796" s="16"/>
      <c r="G796" s="16"/>
      <c r="H796" s="25"/>
      <c r="I796" s="27"/>
      <c r="J796" s="48">
        <f>+I796*E796</f>
        <v>0</v>
      </c>
    </row>
    <row r="797" spans="1:10" s="14" customFormat="1" ht="24" customHeight="1">
      <c r="A797" s="47">
        <v>800433</v>
      </c>
      <c r="B797" s="15" t="s">
        <v>432</v>
      </c>
      <c r="C797" s="13">
        <v>6.37</v>
      </c>
      <c r="D797" s="16">
        <v>50</v>
      </c>
      <c r="E797" s="16">
        <f>+C797/2</f>
        <v>3.1850000000000001</v>
      </c>
      <c r="F797" s="16"/>
      <c r="G797" s="16"/>
      <c r="H797" s="25"/>
      <c r="I797" s="27"/>
      <c r="J797" s="48">
        <f t="shared" ref="J797:J803" si="370">+I797*E797</f>
        <v>0</v>
      </c>
    </row>
    <row r="798" spans="1:10" s="14" customFormat="1" ht="24" hidden="1" customHeight="1">
      <c r="A798" s="47">
        <v>681817</v>
      </c>
      <c r="B798" s="15" t="s">
        <v>545</v>
      </c>
      <c r="C798" s="13">
        <v>6.69</v>
      </c>
      <c r="D798" s="16">
        <v>5</v>
      </c>
      <c r="E798" s="16">
        <f>+C798*0.95</f>
        <v>6.3555000000000001</v>
      </c>
      <c r="F798" s="16"/>
      <c r="G798" s="16"/>
      <c r="H798" s="25"/>
      <c r="I798" s="27"/>
      <c r="J798" s="48">
        <f t="shared" ref="J798:J799" si="371">+I798*E798</f>
        <v>0</v>
      </c>
    </row>
    <row r="799" spans="1:10" s="14" customFormat="1" ht="24" customHeight="1">
      <c r="A799" s="47">
        <v>760017</v>
      </c>
      <c r="B799" s="15" t="s">
        <v>546</v>
      </c>
      <c r="C799" s="13">
        <v>6.69</v>
      </c>
      <c r="D799" s="16">
        <v>6</v>
      </c>
      <c r="E799" s="16">
        <f>+C799*0.94</f>
        <v>6.2885999999999997</v>
      </c>
      <c r="F799" s="16"/>
      <c r="G799" s="16"/>
      <c r="H799" s="25"/>
      <c r="I799" s="27"/>
      <c r="J799" s="48">
        <f t="shared" si="371"/>
        <v>0</v>
      </c>
    </row>
    <row r="800" spans="1:10" s="14" customFormat="1" ht="24" hidden="1" customHeight="1">
      <c r="A800" s="47">
        <v>965012</v>
      </c>
      <c r="B800" s="15" t="s">
        <v>591</v>
      </c>
      <c r="C800" s="13">
        <v>6.69</v>
      </c>
      <c r="D800" s="16">
        <v>5</v>
      </c>
      <c r="E800" s="16">
        <f>+C800*0.95</f>
        <v>6.3555000000000001</v>
      </c>
      <c r="F800" s="16"/>
      <c r="G800" s="16"/>
      <c r="H800" s="25"/>
      <c r="I800" s="27"/>
      <c r="J800" s="48">
        <f t="shared" ref="J800" si="372">+I800*E800</f>
        <v>0</v>
      </c>
    </row>
    <row r="801" spans="1:10" s="14" customFormat="1" ht="24" customHeight="1">
      <c r="A801" s="47">
        <v>724166</v>
      </c>
      <c r="B801" s="15" t="s">
        <v>592</v>
      </c>
      <c r="C801" s="13">
        <v>4.45</v>
      </c>
      <c r="D801" s="16">
        <v>20</v>
      </c>
      <c r="E801" s="16">
        <f>+C801*0.8</f>
        <v>3.5600000000000005</v>
      </c>
      <c r="F801" s="16"/>
      <c r="G801" s="16"/>
      <c r="H801" s="25"/>
      <c r="I801" s="27"/>
      <c r="J801" s="48">
        <f t="shared" ref="J801" si="373">+I801*E801</f>
        <v>0</v>
      </c>
    </row>
    <row r="802" spans="1:10" s="14" customFormat="1" ht="24" customHeight="1">
      <c r="A802" s="47">
        <v>665299</v>
      </c>
      <c r="B802" s="15" t="s">
        <v>451</v>
      </c>
      <c r="C802" s="13">
        <v>9.58</v>
      </c>
      <c r="D802" s="16">
        <v>3</v>
      </c>
      <c r="E802" s="16">
        <f>C802*0.97</f>
        <v>9.2926000000000002</v>
      </c>
      <c r="F802" s="16"/>
      <c r="G802" s="16"/>
      <c r="H802" s="25"/>
      <c r="I802" s="27"/>
      <c r="J802" s="48">
        <f t="shared" ref="J802" si="374">+I802*E802</f>
        <v>0</v>
      </c>
    </row>
    <row r="803" spans="1:10" s="14" customFormat="1" ht="24" hidden="1" customHeight="1">
      <c r="A803" s="47">
        <v>995746</v>
      </c>
      <c r="B803" s="15" t="s">
        <v>650</v>
      </c>
      <c r="C803" s="16">
        <v>4.4800000000000004</v>
      </c>
      <c r="D803" s="16">
        <v>5</v>
      </c>
      <c r="E803" s="16">
        <f>C803*0.95</f>
        <v>4.2560000000000002</v>
      </c>
      <c r="F803" s="16"/>
      <c r="G803" s="16"/>
      <c r="H803" s="25"/>
      <c r="I803" s="27"/>
      <c r="J803" s="48">
        <f t="shared" si="370"/>
        <v>0</v>
      </c>
    </row>
    <row r="804" spans="1:10" s="14" customFormat="1" ht="24" hidden="1" customHeight="1">
      <c r="A804" s="47">
        <v>871988</v>
      </c>
      <c r="B804" s="15" t="s">
        <v>590</v>
      </c>
      <c r="C804" s="16">
        <v>14.27</v>
      </c>
      <c r="D804" s="16"/>
      <c r="E804" s="16"/>
      <c r="F804" s="16">
        <v>15.44</v>
      </c>
      <c r="G804" s="16">
        <v>4</v>
      </c>
      <c r="H804" s="25">
        <f>+F804*0.96</f>
        <v>14.822399999999998</v>
      </c>
      <c r="I804" s="27"/>
      <c r="J804" s="48">
        <f>+I804*H804</f>
        <v>0</v>
      </c>
    </row>
    <row r="805" spans="1:10" s="14" customFormat="1" ht="24" hidden="1" customHeight="1">
      <c r="A805" s="47">
        <v>734988</v>
      </c>
      <c r="B805" s="15" t="s">
        <v>549</v>
      </c>
      <c r="C805" s="16">
        <v>6.14</v>
      </c>
      <c r="D805" s="16"/>
      <c r="E805" s="16">
        <f>+C805</f>
        <v>6.14</v>
      </c>
      <c r="F805" s="16"/>
      <c r="G805" s="16"/>
      <c r="H805" s="25"/>
      <c r="I805" s="27"/>
      <c r="J805" s="48">
        <f t="shared" ref="J805:J809" si="375">+I805*E805</f>
        <v>0</v>
      </c>
    </row>
    <row r="806" spans="1:10" s="14" customFormat="1" ht="24" hidden="1" customHeight="1">
      <c r="A806" s="47">
        <v>735035</v>
      </c>
      <c r="B806" s="15" t="s">
        <v>433</v>
      </c>
      <c r="C806" s="16">
        <v>12.27</v>
      </c>
      <c r="D806" s="16"/>
      <c r="E806" s="16">
        <f>+C806</f>
        <v>12.27</v>
      </c>
      <c r="F806" s="16"/>
      <c r="G806" s="16"/>
      <c r="H806" s="25"/>
      <c r="I806" s="27"/>
      <c r="J806" s="48">
        <f t="shared" si="375"/>
        <v>0</v>
      </c>
    </row>
    <row r="807" spans="1:10" s="14" customFormat="1" ht="24" hidden="1" customHeight="1">
      <c r="A807" s="47">
        <v>798959</v>
      </c>
      <c r="B807" s="15" t="s">
        <v>561</v>
      </c>
      <c r="C807" s="16">
        <v>3.74</v>
      </c>
      <c r="D807" s="16"/>
      <c r="E807" s="16">
        <f t="shared" ref="E807:E808" si="376">+C807</f>
        <v>3.74</v>
      </c>
      <c r="F807" s="16"/>
      <c r="G807" s="16"/>
      <c r="H807" s="25"/>
      <c r="I807" s="27"/>
      <c r="J807" s="48">
        <f t="shared" ref="J807:J808" si="377">+I807*E807</f>
        <v>0</v>
      </c>
    </row>
    <row r="808" spans="1:10" s="14" customFormat="1" ht="24" hidden="1" customHeight="1">
      <c r="A808" s="47">
        <v>799486</v>
      </c>
      <c r="B808" s="15" t="s">
        <v>651</v>
      </c>
      <c r="C808" s="16">
        <v>7.47</v>
      </c>
      <c r="D808" s="16"/>
      <c r="E808" s="16">
        <f t="shared" si="376"/>
        <v>7.47</v>
      </c>
      <c r="F808" s="16"/>
      <c r="G808" s="16"/>
      <c r="H808" s="25"/>
      <c r="I808" s="27"/>
      <c r="J808" s="48">
        <f t="shared" si="377"/>
        <v>0</v>
      </c>
    </row>
    <row r="809" spans="1:10" s="14" customFormat="1" ht="24" hidden="1" customHeight="1">
      <c r="A809" s="47">
        <v>667873</v>
      </c>
      <c r="B809" s="15" t="s">
        <v>560</v>
      </c>
      <c r="C809" s="16">
        <v>5.3</v>
      </c>
      <c r="D809" s="16"/>
      <c r="E809" s="16">
        <f>+C809</f>
        <v>5.3</v>
      </c>
      <c r="F809" s="16"/>
      <c r="G809" s="16"/>
      <c r="H809" s="25"/>
      <c r="I809" s="27"/>
      <c r="J809" s="48">
        <f t="shared" si="375"/>
        <v>0</v>
      </c>
    </row>
    <row r="810" spans="1:10" s="14" customFormat="1" ht="24" hidden="1" customHeight="1">
      <c r="A810" s="47">
        <v>667865</v>
      </c>
      <c r="B810" s="15" t="s">
        <v>553</v>
      </c>
      <c r="C810" s="16">
        <v>10.62</v>
      </c>
      <c r="D810" s="16"/>
      <c r="E810" s="16">
        <f>+C810</f>
        <v>10.62</v>
      </c>
      <c r="F810" s="16"/>
      <c r="G810" s="16"/>
      <c r="H810" s="25"/>
      <c r="I810" s="27"/>
      <c r="J810" s="48">
        <f>+I810*E810</f>
        <v>0</v>
      </c>
    </row>
    <row r="811" spans="1:10" s="14" customFormat="1" ht="24" customHeight="1">
      <c r="A811" s="340" t="s">
        <v>438</v>
      </c>
      <c r="B811" s="341"/>
      <c r="C811" s="341"/>
      <c r="D811" s="341"/>
      <c r="E811" s="341"/>
      <c r="F811" s="341"/>
      <c r="G811" s="341"/>
      <c r="H811" s="341"/>
      <c r="I811" s="29"/>
      <c r="J811" s="41"/>
    </row>
    <row r="812" spans="1:10" s="14" customFormat="1" ht="24" hidden="1" customHeight="1">
      <c r="A812" s="47">
        <v>662056</v>
      </c>
      <c r="B812" s="15" t="s">
        <v>439</v>
      </c>
      <c r="C812" s="16">
        <v>13.49</v>
      </c>
      <c r="D812" s="16"/>
      <c r="E812" s="16"/>
      <c r="F812" s="16">
        <v>14.6</v>
      </c>
      <c r="G812" s="16">
        <v>4</v>
      </c>
      <c r="H812" s="25">
        <f>+F812*0.96</f>
        <v>14.016</v>
      </c>
      <c r="I812" s="27"/>
      <c r="J812" s="48">
        <f>+I812*H812</f>
        <v>0</v>
      </c>
    </row>
    <row r="813" spans="1:10" s="14" customFormat="1" ht="24" customHeight="1">
      <c r="A813" s="47">
        <v>688969</v>
      </c>
      <c r="B813" s="15" t="s">
        <v>865</v>
      </c>
      <c r="C813" s="13">
        <v>5.38</v>
      </c>
      <c r="D813" s="16">
        <v>15</v>
      </c>
      <c r="E813" s="16">
        <f>+C813*0.85</f>
        <v>4.5729999999999995</v>
      </c>
      <c r="F813" s="16"/>
      <c r="G813" s="16"/>
      <c r="H813" s="25"/>
      <c r="I813" s="27"/>
      <c r="J813" s="48">
        <f>+I813*E813</f>
        <v>0</v>
      </c>
    </row>
    <row r="814" spans="1:10" s="14" customFormat="1" ht="24" customHeight="1">
      <c r="A814" s="47">
        <v>702683</v>
      </c>
      <c r="B814" s="15" t="s">
        <v>867</v>
      </c>
      <c r="C814" s="13">
        <v>5.38</v>
      </c>
      <c r="D814" s="16">
        <v>15</v>
      </c>
      <c r="E814" s="16">
        <f>+C814*0.85</f>
        <v>4.5729999999999995</v>
      </c>
      <c r="F814" s="16"/>
      <c r="G814" s="16"/>
      <c r="H814" s="25"/>
      <c r="I814" s="27"/>
      <c r="J814" s="48">
        <f>+I814*E814</f>
        <v>0</v>
      </c>
    </row>
    <row r="815" spans="1:10" s="14" customFormat="1" ht="24" hidden="1" customHeight="1">
      <c r="A815" s="47">
        <v>938548</v>
      </c>
      <c r="B815" s="15" t="s">
        <v>440</v>
      </c>
      <c r="C815" s="16">
        <v>4.25</v>
      </c>
      <c r="D815" s="16"/>
      <c r="E815" s="16"/>
      <c r="F815" s="16">
        <v>4.5999999999999996</v>
      </c>
      <c r="G815" s="16">
        <v>4</v>
      </c>
      <c r="H815" s="25">
        <f>+F815*0.96</f>
        <v>4.4159999999999995</v>
      </c>
      <c r="I815" s="27"/>
      <c r="J815" s="48">
        <f>+I815*H815</f>
        <v>0</v>
      </c>
    </row>
    <row r="816" spans="1:10" s="14" customFormat="1" ht="24" customHeight="1">
      <c r="A816" s="340" t="s">
        <v>842</v>
      </c>
      <c r="B816" s="341"/>
      <c r="C816" s="341"/>
      <c r="D816" s="341"/>
      <c r="E816" s="341"/>
      <c r="F816" s="341"/>
      <c r="G816" s="341"/>
      <c r="H816" s="341"/>
      <c r="I816" s="29"/>
      <c r="J816" s="41"/>
    </row>
    <row r="817" spans="1:10" s="14" customFormat="1" ht="24" customHeight="1">
      <c r="A817" s="47">
        <v>209017</v>
      </c>
      <c r="B817" s="15" t="s">
        <v>843</v>
      </c>
      <c r="C817" s="13">
        <v>7</v>
      </c>
      <c r="D817" s="16"/>
      <c r="E817" s="16">
        <f>+C817</f>
        <v>7</v>
      </c>
      <c r="F817" s="16"/>
      <c r="G817" s="16"/>
      <c r="H817" s="25"/>
      <c r="I817" s="27"/>
      <c r="J817" s="48">
        <f>+I817*E817</f>
        <v>0</v>
      </c>
    </row>
    <row r="818" spans="1:10" s="14" customFormat="1" ht="24" customHeight="1">
      <c r="A818" s="47"/>
      <c r="B818" s="15" t="s">
        <v>844</v>
      </c>
      <c r="C818" s="13">
        <v>70</v>
      </c>
      <c r="D818" s="16"/>
      <c r="E818" s="16">
        <f>+C818</f>
        <v>70</v>
      </c>
      <c r="F818" s="16"/>
      <c r="G818" s="16"/>
      <c r="H818" s="25"/>
      <c r="I818" s="27"/>
      <c r="J818" s="48">
        <f>+I818*E818</f>
        <v>0</v>
      </c>
    </row>
    <row r="819" spans="1:10" s="14" customFormat="1" ht="24" customHeight="1">
      <c r="A819" s="340" t="s">
        <v>602</v>
      </c>
      <c r="B819" s="341"/>
      <c r="C819" s="341"/>
      <c r="D819" s="341"/>
      <c r="E819" s="341"/>
      <c r="F819" s="341"/>
      <c r="G819" s="341"/>
      <c r="H819" s="341"/>
      <c r="I819" s="29"/>
      <c r="J819" s="41"/>
    </row>
    <row r="820" spans="1:10" s="14" customFormat="1" ht="24" customHeight="1">
      <c r="A820" s="47">
        <v>198810</v>
      </c>
      <c r="B820" s="15" t="s">
        <v>604</v>
      </c>
      <c r="C820" s="13">
        <v>8.91</v>
      </c>
      <c r="D820" s="16"/>
      <c r="E820" s="16">
        <f>+C820</f>
        <v>8.91</v>
      </c>
      <c r="F820" s="16"/>
      <c r="G820" s="16"/>
      <c r="H820" s="25"/>
      <c r="I820" s="27"/>
      <c r="J820" s="48">
        <f>+I820*E820</f>
        <v>0</v>
      </c>
    </row>
    <row r="821" spans="1:10" s="14" customFormat="1" ht="24" customHeight="1">
      <c r="A821" s="47">
        <v>359448</v>
      </c>
      <c r="B821" s="15" t="s">
        <v>603</v>
      </c>
      <c r="C821" s="13">
        <v>3.09</v>
      </c>
      <c r="D821" s="16"/>
      <c r="E821" s="16">
        <f>+C821</f>
        <v>3.09</v>
      </c>
      <c r="F821" s="16"/>
      <c r="G821" s="16"/>
      <c r="H821" s="25"/>
      <c r="I821" s="27"/>
      <c r="J821" s="48">
        <f>+I821*E821</f>
        <v>0</v>
      </c>
    </row>
    <row r="822" spans="1:10" s="14" customFormat="1" ht="24" customHeight="1">
      <c r="A822" s="340" t="s">
        <v>735</v>
      </c>
      <c r="B822" s="341"/>
      <c r="C822" s="341"/>
      <c r="D822" s="341"/>
      <c r="E822" s="341"/>
      <c r="F822" s="341"/>
      <c r="G822" s="341"/>
      <c r="H822" s="341"/>
      <c r="I822" s="29"/>
      <c r="J822" s="41"/>
    </row>
    <row r="823" spans="1:10" s="14" customFormat="1" ht="24" hidden="1" customHeight="1">
      <c r="A823" s="47">
        <v>169283</v>
      </c>
      <c r="B823" s="15" t="s">
        <v>736</v>
      </c>
      <c r="C823" s="16">
        <v>6.17</v>
      </c>
      <c r="D823" s="16">
        <v>12</v>
      </c>
      <c r="E823" s="16">
        <f>+C823*0.88</f>
        <v>5.4295999999999998</v>
      </c>
      <c r="F823" s="16"/>
      <c r="G823" s="16"/>
      <c r="H823" s="25"/>
      <c r="I823" s="27"/>
      <c r="J823" s="48">
        <f>+I823*E823</f>
        <v>0</v>
      </c>
    </row>
    <row r="824" spans="1:10" s="14" customFormat="1" ht="24" hidden="1" customHeight="1">
      <c r="A824" s="47">
        <v>169285</v>
      </c>
      <c r="B824" s="15" t="s">
        <v>737</v>
      </c>
      <c r="C824" s="16">
        <v>6.17</v>
      </c>
      <c r="D824" s="16">
        <v>12</v>
      </c>
      <c r="E824" s="16">
        <f t="shared" ref="E824:E826" si="378">+C824*0.88</f>
        <v>5.4295999999999998</v>
      </c>
      <c r="F824" s="16"/>
      <c r="G824" s="16"/>
      <c r="H824" s="25"/>
      <c r="I824" s="27"/>
      <c r="J824" s="48">
        <f t="shared" ref="J824:J826" si="379">+I824*E824</f>
        <v>0</v>
      </c>
    </row>
    <row r="825" spans="1:10" s="14" customFormat="1" ht="24" customHeight="1">
      <c r="A825" s="47">
        <v>172609</v>
      </c>
      <c r="B825" s="15" t="s">
        <v>738</v>
      </c>
      <c r="C825" s="13">
        <v>4.7</v>
      </c>
      <c r="D825" s="16">
        <v>12</v>
      </c>
      <c r="E825" s="16">
        <f t="shared" si="378"/>
        <v>4.1360000000000001</v>
      </c>
      <c r="F825" s="16"/>
      <c r="G825" s="16"/>
      <c r="H825" s="25"/>
      <c r="I825" s="27"/>
      <c r="J825" s="48">
        <f t="shared" si="379"/>
        <v>0</v>
      </c>
    </row>
    <row r="826" spans="1:10" s="14" customFormat="1" ht="24" hidden="1" customHeight="1">
      <c r="A826" s="47">
        <v>172610</v>
      </c>
      <c r="B826" s="15" t="s">
        <v>739</v>
      </c>
      <c r="C826" s="16">
        <v>9.2200000000000006</v>
      </c>
      <c r="D826" s="16">
        <v>12</v>
      </c>
      <c r="E826" s="16">
        <f t="shared" si="378"/>
        <v>8.1135999999999999</v>
      </c>
      <c r="F826" s="16"/>
      <c r="G826" s="16"/>
      <c r="H826" s="25"/>
      <c r="I826" s="27"/>
      <c r="J826" s="48">
        <f t="shared" si="379"/>
        <v>0</v>
      </c>
    </row>
    <row r="827" spans="1:10" ht="24" customHeight="1">
      <c r="A827" s="337" t="s">
        <v>34</v>
      </c>
      <c r="B827" s="338"/>
      <c r="C827" s="338"/>
      <c r="D827" s="338"/>
      <c r="E827" s="338"/>
      <c r="F827" s="338"/>
      <c r="G827" s="338"/>
      <c r="H827" s="339"/>
      <c r="I827" s="27"/>
      <c r="J827" s="36"/>
    </row>
    <row r="828" spans="1:10" ht="24" customHeight="1">
      <c r="A828" s="37">
        <v>662519</v>
      </c>
      <c r="B828" s="9" t="s">
        <v>26</v>
      </c>
      <c r="C828" s="13">
        <v>63.73</v>
      </c>
      <c r="D828" s="5">
        <v>20</v>
      </c>
      <c r="E828" s="5">
        <f>+C828*0.8</f>
        <v>50.984000000000002</v>
      </c>
      <c r="F828" s="5"/>
      <c r="G828" s="5"/>
      <c r="H828" s="24"/>
      <c r="I828" s="27"/>
      <c r="J828" s="40">
        <f>+I828*E828</f>
        <v>0</v>
      </c>
    </row>
    <row r="829" spans="1:10" ht="24" customHeight="1">
      <c r="A829" s="37">
        <v>678007</v>
      </c>
      <c r="B829" s="9" t="s">
        <v>137</v>
      </c>
      <c r="C829" s="13">
        <v>11.95</v>
      </c>
      <c r="D829" s="5">
        <v>12</v>
      </c>
      <c r="E829" s="5">
        <f>+C829*0.88</f>
        <v>10.516</v>
      </c>
      <c r="F829" s="5"/>
      <c r="G829" s="5"/>
      <c r="H829" s="24"/>
      <c r="I829" s="27"/>
      <c r="J829" s="40">
        <f t="shared" ref="J829:J835" si="380">+I829*E829</f>
        <v>0</v>
      </c>
    </row>
    <row r="830" spans="1:10" ht="24" customHeight="1">
      <c r="A830" s="37">
        <v>693292</v>
      </c>
      <c r="B830" s="9" t="s">
        <v>27</v>
      </c>
      <c r="C830" s="13">
        <v>15.61</v>
      </c>
      <c r="D830" s="5">
        <v>9</v>
      </c>
      <c r="E830" s="5">
        <f>+C830*0.91</f>
        <v>14.2051</v>
      </c>
      <c r="F830" s="5"/>
      <c r="G830" s="5"/>
      <c r="H830" s="24"/>
      <c r="I830" s="27"/>
      <c r="J830" s="40">
        <f t="shared" si="380"/>
        <v>0</v>
      </c>
    </row>
    <row r="831" spans="1:10" ht="24" customHeight="1">
      <c r="A831" s="37">
        <v>665896</v>
      </c>
      <c r="B831" s="9" t="s">
        <v>109</v>
      </c>
      <c r="C831" s="13">
        <v>12.79</v>
      </c>
      <c r="D831" s="5">
        <v>11</v>
      </c>
      <c r="E831" s="5">
        <f>+C831*0.89</f>
        <v>11.383099999999999</v>
      </c>
      <c r="F831" s="5"/>
      <c r="G831" s="5"/>
      <c r="H831" s="24"/>
      <c r="I831" s="27"/>
      <c r="J831" s="40">
        <f t="shared" si="380"/>
        <v>0</v>
      </c>
    </row>
    <row r="832" spans="1:10" ht="24" customHeight="1">
      <c r="A832" s="37">
        <v>665916</v>
      </c>
      <c r="B832" s="9" t="s">
        <v>110</v>
      </c>
      <c r="C832" s="13">
        <v>12.4</v>
      </c>
      <c r="D832" s="5">
        <v>9</v>
      </c>
      <c r="E832" s="5">
        <f>+C832*0.91</f>
        <v>11.284000000000001</v>
      </c>
      <c r="F832" s="5"/>
      <c r="G832" s="5"/>
      <c r="H832" s="24"/>
      <c r="I832" s="27"/>
      <c r="J832" s="40">
        <f t="shared" si="380"/>
        <v>0</v>
      </c>
    </row>
    <row r="833" spans="1:10" ht="24" customHeight="1">
      <c r="A833" s="37">
        <v>732452</v>
      </c>
      <c r="B833" s="9" t="s">
        <v>845</v>
      </c>
      <c r="C833" s="13">
        <v>16.91</v>
      </c>
      <c r="D833" s="5">
        <v>8</v>
      </c>
      <c r="E833" s="5">
        <f>+C833*0.92</f>
        <v>15.557200000000002</v>
      </c>
      <c r="F833" s="5"/>
      <c r="G833" s="5"/>
      <c r="H833" s="24"/>
      <c r="I833" s="27"/>
      <c r="J833" s="40">
        <f t="shared" si="380"/>
        <v>0</v>
      </c>
    </row>
    <row r="834" spans="1:10" ht="24" customHeight="1">
      <c r="A834" s="37">
        <v>709726</v>
      </c>
      <c r="B834" s="9" t="s">
        <v>161</v>
      </c>
      <c r="C834" s="13">
        <v>34.54</v>
      </c>
      <c r="D834" s="5">
        <v>5</v>
      </c>
      <c r="E834" s="5">
        <f>+C834*0.95</f>
        <v>32.812999999999995</v>
      </c>
      <c r="F834" s="5"/>
      <c r="G834" s="5"/>
      <c r="H834" s="24"/>
      <c r="I834" s="27"/>
      <c r="J834" s="40">
        <f t="shared" si="380"/>
        <v>0</v>
      </c>
    </row>
    <row r="835" spans="1:10" ht="24" customHeight="1">
      <c r="A835" s="37">
        <v>701880</v>
      </c>
      <c r="B835" s="9" t="s">
        <v>214</v>
      </c>
      <c r="C835" s="13">
        <v>8.0500000000000007</v>
      </c>
      <c r="D835" s="5">
        <v>12</v>
      </c>
      <c r="E835" s="5">
        <f>+C835*0.88</f>
        <v>7.0840000000000005</v>
      </c>
      <c r="F835" s="5"/>
      <c r="G835" s="5"/>
      <c r="H835" s="24"/>
      <c r="I835" s="27"/>
      <c r="J835" s="40">
        <f t="shared" si="380"/>
        <v>0</v>
      </c>
    </row>
    <row r="836" spans="1:10" ht="24" hidden="1" customHeight="1">
      <c r="A836" s="37">
        <v>715027</v>
      </c>
      <c r="B836" s="9" t="s">
        <v>289</v>
      </c>
      <c r="C836" s="13">
        <v>13.49</v>
      </c>
      <c r="D836" s="5">
        <v>10</v>
      </c>
      <c r="E836" s="5">
        <f>+C836*0.9</f>
        <v>12.141</v>
      </c>
      <c r="F836" s="5"/>
      <c r="G836" s="5"/>
      <c r="H836" s="24"/>
      <c r="I836" s="27"/>
      <c r="J836" s="40">
        <f t="shared" ref="J836:J837" si="381">+I836*E836</f>
        <v>0</v>
      </c>
    </row>
    <row r="837" spans="1:10" ht="24" hidden="1" customHeight="1">
      <c r="A837" s="37">
        <v>715028</v>
      </c>
      <c r="B837" s="9" t="s">
        <v>290</v>
      </c>
      <c r="C837" s="13">
        <v>13.49</v>
      </c>
      <c r="D837" s="5">
        <v>7</v>
      </c>
      <c r="E837" s="5">
        <f>+C837*0.93</f>
        <v>12.5457</v>
      </c>
      <c r="F837" s="5"/>
      <c r="G837" s="5"/>
      <c r="H837" s="24"/>
      <c r="I837" s="27"/>
      <c r="J837" s="40">
        <f t="shared" si="381"/>
        <v>0</v>
      </c>
    </row>
    <row r="838" spans="1:10" ht="24" customHeight="1">
      <c r="A838" s="37">
        <v>720787</v>
      </c>
      <c r="B838" s="9" t="s">
        <v>378</v>
      </c>
      <c r="C838" s="13">
        <v>17.12</v>
      </c>
      <c r="D838" s="5">
        <v>15</v>
      </c>
      <c r="E838" s="5">
        <f>+C838*0.85</f>
        <v>14.552</v>
      </c>
      <c r="F838" s="5"/>
      <c r="G838" s="5"/>
      <c r="H838" s="24"/>
      <c r="I838" s="27"/>
      <c r="J838" s="40">
        <f t="shared" ref="J838" si="382">+I838*E838</f>
        <v>0</v>
      </c>
    </row>
    <row r="839" spans="1:10" ht="24" customHeight="1">
      <c r="A839" s="37">
        <v>702681</v>
      </c>
      <c r="B839" s="9" t="s">
        <v>400</v>
      </c>
      <c r="C839" s="13">
        <v>15.95</v>
      </c>
      <c r="D839" s="5">
        <v>35</v>
      </c>
      <c r="E839" s="5">
        <f>+C839*0.65</f>
        <v>10.3675</v>
      </c>
      <c r="F839" s="5"/>
      <c r="G839" s="5"/>
      <c r="H839" s="24"/>
      <c r="I839" s="27"/>
      <c r="J839" s="40">
        <f>+I839*E839</f>
        <v>0</v>
      </c>
    </row>
    <row r="840" spans="1:10" ht="24" customHeight="1">
      <c r="A840" s="37">
        <v>720760</v>
      </c>
      <c r="B840" s="9" t="s">
        <v>406</v>
      </c>
      <c r="C840" s="13">
        <v>11.2</v>
      </c>
      <c r="D840" s="5">
        <v>12</v>
      </c>
      <c r="E840" s="5">
        <f>+C840*0.88</f>
        <v>9.8559999999999999</v>
      </c>
      <c r="F840" s="5"/>
      <c r="G840" s="5"/>
      <c r="H840" s="24"/>
      <c r="I840" s="27"/>
      <c r="J840" s="40">
        <f t="shared" ref="J840" si="383">+I840*E840</f>
        <v>0</v>
      </c>
    </row>
    <row r="841" spans="1:10" ht="24" customHeight="1">
      <c r="A841" s="37">
        <v>725883</v>
      </c>
      <c r="B841" s="9" t="s">
        <v>441</v>
      </c>
      <c r="C841" s="13">
        <v>12.92</v>
      </c>
      <c r="D841" s="5">
        <v>18</v>
      </c>
      <c r="E841" s="5">
        <f>+C841*0.82</f>
        <v>10.594399999999998</v>
      </c>
      <c r="F841" s="5"/>
      <c r="G841" s="5"/>
      <c r="H841" s="24"/>
      <c r="I841" s="27"/>
      <c r="J841" s="40">
        <f t="shared" ref="J841:J842" si="384">+I841*E841</f>
        <v>0</v>
      </c>
    </row>
    <row r="842" spans="1:10" ht="24" customHeight="1">
      <c r="A842" s="37">
        <v>725983</v>
      </c>
      <c r="B842" s="9" t="s">
        <v>442</v>
      </c>
      <c r="C842" s="13">
        <v>12.93</v>
      </c>
      <c r="D842" s="5">
        <v>16</v>
      </c>
      <c r="E842" s="5">
        <f>+C842*0.84</f>
        <v>10.8612</v>
      </c>
      <c r="F842" s="5"/>
      <c r="G842" s="5"/>
      <c r="H842" s="24"/>
      <c r="I842" s="27"/>
      <c r="J842" s="40">
        <f t="shared" si="384"/>
        <v>0</v>
      </c>
    </row>
    <row r="843" spans="1:10" ht="24" customHeight="1">
      <c r="A843" s="37">
        <v>725982</v>
      </c>
      <c r="B843" s="9" t="s">
        <v>473</v>
      </c>
      <c r="C843" s="13">
        <v>12.93</v>
      </c>
      <c r="D843" s="5">
        <v>16</v>
      </c>
      <c r="E843" s="5">
        <f>+C843*0.84</f>
        <v>10.8612</v>
      </c>
      <c r="F843" s="5"/>
      <c r="G843" s="5"/>
      <c r="H843" s="24"/>
      <c r="I843" s="27"/>
      <c r="J843" s="40">
        <f t="shared" ref="J843" si="385">+I843*E843</f>
        <v>0</v>
      </c>
    </row>
    <row r="844" spans="1:10" ht="24" customHeight="1">
      <c r="A844" s="37">
        <v>665241</v>
      </c>
      <c r="B844" s="9" t="s">
        <v>572</v>
      </c>
      <c r="C844" s="13">
        <v>18.77</v>
      </c>
      <c r="D844" s="5">
        <v>18</v>
      </c>
      <c r="E844" s="5">
        <f>+C844*0.82</f>
        <v>15.391399999999999</v>
      </c>
      <c r="F844" s="5"/>
      <c r="G844" s="5"/>
      <c r="H844" s="24"/>
      <c r="I844" s="27"/>
      <c r="J844" s="40">
        <f t="shared" ref="J844" si="386">+I844*E844</f>
        <v>0</v>
      </c>
    </row>
    <row r="845" spans="1:10" ht="24" customHeight="1">
      <c r="A845" s="37">
        <v>707615</v>
      </c>
      <c r="B845" s="9" t="s">
        <v>613</v>
      </c>
      <c r="C845" s="13">
        <v>11.2</v>
      </c>
      <c r="D845" s="5">
        <v>15</v>
      </c>
      <c r="E845" s="5">
        <f>+C845*0.85</f>
        <v>9.52</v>
      </c>
      <c r="F845" s="5"/>
      <c r="G845" s="5"/>
      <c r="H845" s="24"/>
      <c r="I845" s="27"/>
      <c r="J845" s="40">
        <f t="shared" ref="J845" si="387">+I845*E845</f>
        <v>0</v>
      </c>
    </row>
    <row r="846" spans="1:10" ht="24" customHeight="1">
      <c r="A846" s="37">
        <v>698724</v>
      </c>
      <c r="B846" s="9" t="s">
        <v>628</v>
      </c>
      <c r="C846" s="13">
        <v>8.9499999999999993</v>
      </c>
      <c r="D846" s="5">
        <v>15</v>
      </c>
      <c r="E846" s="5">
        <f>+C846*0.85</f>
        <v>7.607499999999999</v>
      </c>
      <c r="F846" s="5"/>
      <c r="G846" s="5"/>
      <c r="H846" s="24"/>
      <c r="I846" s="27"/>
      <c r="J846" s="40">
        <f t="shared" ref="J846:J848" si="388">+I846*E846</f>
        <v>0</v>
      </c>
    </row>
    <row r="847" spans="1:10" ht="24" customHeight="1">
      <c r="A847" s="37">
        <v>728524</v>
      </c>
      <c r="B847" s="9" t="s">
        <v>645</v>
      </c>
      <c r="C847" s="13">
        <v>12.36</v>
      </c>
      <c r="D847" s="5">
        <v>8</v>
      </c>
      <c r="E847" s="5">
        <f>+C847*0.92</f>
        <v>11.3712</v>
      </c>
      <c r="F847" s="5"/>
      <c r="G847" s="5"/>
      <c r="H847" s="24"/>
      <c r="I847" s="27"/>
      <c r="J847" s="40">
        <f t="shared" si="388"/>
        <v>0</v>
      </c>
    </row>
    <row r="848" spans="1:10" ht="24" customHeight="1">
      <c r="A848" s="37">
        <v>728916</v>
      </c>
      <c r="B848" s="9" t="s">
        <v>644</v>
      </c>
      <c r="C848" s="13">
        <v>19.760000000000002</v>
      </c>
      <c r="D848" s="5">
        <v>9</v>
      </c>
      <c r="E848" s="5">
        <f>+C848*0.91</f>
        <v>17.981600000000004</v>
      </c>
      <c r="F848" s="5"/>
      <c r="G848" s="5"/>
      <c r="H848" s="24"/>
      <c r="I848" s="27"/>
      <c r="J848" s="40">
        <f t="shared" si="388"/>
        <v>0</v>
      </c>
    </row>
    <row r="849" spans="1:10" ht="24" customHeight="1">
      <c r="A849" s="37">
        <v>729569</v>
      </c>
      <c r="B849" s="9" t="s">
        <v>733</v>
      </c>
      <c r="C849" s="13">
        <v>17</v>
      </c>
      <c r="D849" s="5">
        <v>10</v>
      </c>
      <c r="E849" s="5">
        <f>+C849*0.9</f>
        <v>15.3</v>
      </c>
      <c r="F849" s="5"/>
      <c r="G849" s="5"/>
      <c r="H849" s="24"/>
      <c r="I849" s="27"/>
      <c r="J849" s="40">
        <f t="shared" ref="J849:J851" si="389">+I849*E849</f>
        <v>0</v>
      </c>
    </row>
    <row r="850" spans="1:10" ht="24" customHeight="1">
      <c r="A850" s="37">
        <v>729587</v>
      </c>
      <c r="B850" s="9" t="s">
        <v>734</v>
      </c>
      <c r="C850" s="13">
        <v>19.68</v>
      </c>
      <c r="D850" s="5">
        <v>10</v>
      </c>
      <c r="E850" s="5">
        <f>+C850*0.9</f>
        <v>17.712</v>
      </c>
      <c r="F850" s="5"/>
      <c r="G850" s="5"/>
      <c r="H850" s="24"/>
      <c r="I850" s="27"/>
      <c r="J850" s="40">
        <f t="shared" si="389"/>
        <v>0</v>
      </c>
    </row>
    <row r="851" spans="1:10" ht="24" customHeight="1">
      <c r="A851" s="37">
        <v>729497</v>
      </c>
      <c r="B851" s="9" t="s">
        <v>812</v>
      </c>
      <c r="C851" s="13">
        <v>12.27</v>
      </c>
      <c r="D851" s="5">
        <v>10</v>
      </c>
      <c r="E851" s="5">
        <f>+C851*0.9</f>
        <v>11.042999999999999</v>
      </c>
      <c r="F851" s="5"/>
      <c r="G851" s="5"/>
      <c r="H851" s="24"/>
      <c r="I851" s="27"/>
      <c r="J851" s="40">
        <f t="shared" si="389"/>
        <v>0</v>
      </c>
    </row>
    <row r="852" spans="1:10" ht="24" customHeight="1" thickBot="1">
      <c r="A852" s="49">
        <v>729496</v>
      </c>
      <c r="B852" s="50" t="s">
        <v>846</v>
      </c>
      <c r="C852" s="51">
        <v>18.41</v>
      </c>
      <c r="D852" s="52">
        <v>10</v>
      </c>
      <c r="E852" s="52">
        <f>+C852*0.9</f>
        <v>16.568999999999999</v>
      </c>
      <c r="F852" s="52"/>
      <c r="G852" s="52"/>
      <c r="H852" s="53"/>
      <c r="I852" s="31"/>
      <c r="J852" s="54">
        <f t="shared" ref="J852" si="390">+I852*E852</f>
        <v>0</v>
      </c>
    </row>
    <row r="853" spans="1:10" ht="16.5" thickBot="1">
      <c r="I853" s="10">
        <f>SUM(I12:I852)</f>
        <v>0</v>
      </c>
      <c r="J853" s="35">
        <f>SUM(J13:J852)</f>
        <v>0</v>
      </c>
    </row>
  </sheetData>
  <mergeCells count="73">
    <mergeCell ref="A637:H637"/>
    <mergeCell ref="A633:H633"/>
    <mergeCell ref="A605:H605"/>
    <mergeCell ref="A557:H557"/>
    <mergeCell ref="A554:H554"/>
    <mergeCell ref="A365:H365"/>
    <mergeCell ref="A340:H340"/>
    <mergeCell ref="A488:H488"/>
    <mergeCell ref="A255:H255"/>
    <mergeCell ref="A236:H236"/>
    <mergeCell ref="A379:H379"/>
    <mergeCell ref="A363:H363"/>
    <mergeCell ref="A372:H372"/>
    <mergeCell ref="A376:H376"/>
    <mergeCell ref="A481:H481"/>
    <mergeCell ref="A473:H473"/>
    <mergeCell ref="A417:H417"/>
    <mergeCell ref="A537:H537"/>
    <mergeCell ref="A622:H622"/>
    <mergeCell ref="A549:H549"/>
    <mergeCell ref="A561:H561"/>
    <mergeCell ref="A601:H601"/>
    <mergeCell ref="A569:H569"/>
    <mergeCell ref="A559:H559"/>
    <mergeCell ref="A552:H552"/>
    <mergeCell ref="A232:H232"/>
    <mergeCell ref="A295:H295"/>
    <mergeCell ref="A317:H317"/>
    <mergeCell ref="A240:H240"/>
    <mergeCell ref="A160:H160"/>
    <mergeCell ref="A207:H207"/>
    <mergeCell ref="A163:H163"/>
    <mergeCell ref="A533:H533"/>
    <mergeCell ref="A440:H440"/>
    <mergeCell ref="A463:H463"/>
    <mergeCell ref="A521:H521"/>
    <mergeCell ref="A504:H504"/>
    <mergeCell ref="A501:H501"/>
    <mergeCell ref="A531:H531"/>
    <mergeCell ref="A519:H519"/>
    <mergeCell ref="A512:H512"/>
    <mergeCell ref="A827:H827"/>
    <mergeCell ref="A723:H723"/>
    <mergeCell ref="A650:H650"/>
    <mergeCell ref="A708:H708"/>
    <mergeCell ref="A811:H811"/>
    <mergeCell ref="A734:H734"/>
    <mergeCell ref="A782:H782"/>
    <mergeCell ref="A795:H795"/>
    <mergeCell ref="A665:H665"/>
    <mergeCell ref="A755:H755"/>
    <mergeCell ref="A819:H819"/>
    <mergeCell ref="A704:H704"/>
    <mergeCell ref="A822:H822"/>
    <mergeCell ref="A698:H698"/>
    <mergeCell ref="A684:H684"/>
    <mergeCell ref="A816:H816"/>
    <mergeCell ref="A12:H12"/>
    <mergeCell ref="A171:H171"/>
    <mergeCell ref="A213:H213"/>
    <mergeCell ref="A203:H203"/>
    <mergeCell ref="A27:H27"/>
    <mergeCell ref="A48:H48"/>
    <mergeCell ref="A104:H104"/>
    <mergeCell ref="A156:H156"/>
    <mergeCell ref="A165:H165"/>
    <mergeCell ref="A73:H73"/>
    <mergeCell ref="A183:H183"/>
    <mergeCell ref="A70:H70"/>
    <mergeCell ref="A21:H21"/>
    <mergeCell ref="A43:H43"/>
    <mergeCell ref="A209:H209"/>
    <mergeCell ref="A98:H98"/>
  </mergeCells>
  <pageMargins left="0.70866141732283472" right="0.70866141732283472" top="0.74803149606299213" bottom="0.74803149606299213" header="0.31496062992125984" footer="0.31496062992125984"/>
  <pageSetup scale="41" fitToHeight="11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I39"/>
  <sheetViews>
    <sheetView workbookViewId="0">
      <selection activeCell="I16" sqref="I16"/>
    </sheetView>
  </sheetViews>
  <sheetFormatPr baseColWidth="10" defaultRowHeight="15"/>
  <cols>
    <col min="1" max="1" width="24.28515625" customWidth="1"/>
    <col min="2" max="2" width="58.85546875" customWidth="1"/>
    <col min="3" max="3" width="25.42578125" customWidth="1"/>
    <col min="4" max="4" width="11.7109375" style="178" customWidth="1"/>
    <col min="5" max="5" width="9.7109375" style="178" customWidth="1"/>
    <col min="6" max="6" width="12" style="179" customWidth="1"/>
    <col min="7" max="7" width="15.42578125" style="180" customWidth="1"/>
    <col min="42" max="42" width="11.42578125" customWidth="1"/>
    <col min="43" max="43" width="46" customWidth="1"/>
    <col min="44" max="44" width="12" customWidth="1"/>
    <col min="45" max="45" width="8.85546875" customWidth="1"/>
    <col min="46" max="46" width="9.85546875" customWidth="1"/>
    <col min="47" max="47" width="13" customWidth="1"/>
    <col min="298" max="298" width="11.42578125" customWidth="1"/>
    <col min="299" max="299" width="46" customWidth="1"/>
    <col min="300" max="300" width="12" customWidth="1"/>
    <col min="301" max="301" width="8.85546875" customWidth="1"/>
    <col min="302" max="302" width="9.85546875" customWidth="1"/>
    <col min="303" max="303" width="13" customWidth="1"/>
    <col min="554" max="554" width="11.42578125" customWidth="1"/>
    <col min="555" max="555" width="46" customWidth="1"/>
    <col min="556" max="556" width="12" customWidth="1"/>
    <col min="557" max="557" width="8.85546875" customWidth="1"/>
    <col min="558" max="558" width="9.85546875" customWidth="1"/>
    <col min="559" max="559" width="13" customWidth="1"/>
    <col min="810" max="810" width="11.42578125" customWidth="1"/>
    <col min="811" max="811" width="46" customWidth="1"/>
    <col min="812" max="812" width="12" customWidth="1"/>
    <col min="813" max="813" width="8.85546875" customWidth="1"/>
    <col min="814" max="814" width="9.85546875" customWidth="1"/>
    <col min="815" max="815" width="13" customWidth="1"/>
    <col min="1066" max="1066" width="11.42578125" customWidth="1"/>
    <col min="1067" max="1067" width="46" customWidth="1"/>
    <col min="1068" max="1068" width="12" customWidth="1"/>
    <col min="1069" max="1069" width="8.85546875" customWidth="1"/>
    <col min="1070" max="1070" width="9.85546875" customWidth="1"/>
    <col min="1071" max="1071" width="13" customWidth="1"/>
    <col min="1322" max="1322" width="11.42578125" customWidth="1"/>
    <col min="1323" max="1323" width="46" customWidth="1"/>
    <col min="1324" max="1324" width="12" customWidth="1"/>
    <col min="1325" max="1325" width="8.85546875" customWidth="1"/>
    <col min="1326" max="1326" width="9.85546875" customWidth="1"/>
    <col min="1327" max="1327" width="13" customWidth="1"/>
    <col min="1578" max="1578" width="11.42578125" customWidth="1"/>
    <col min="1579" max="1579" width="46" customWidth="1"/>
    <col min="1580" max="1580" width="12" customWidth="1"/>
    <col min="1581" max="1581" width="8.85546875" customWidth="1"/>
    <col min="1582" max="1582" width="9.85546875" customWidth="1"/>
    <col min="1583" max="1583" width="13" customWidth="1"/>
    <col min="1834" max="1834" width="11.42578125" customWidth="1"/>
    <col min="1835" max="1835" width="46" customWidth="1"/>
    <col min="1836" max="1836" width="12" customWidth="1"/>
    <col min="1837" max="1837" width="8.85546875" customWidth="1"/>
    <col min="1838" max="1838" width="9.85546875" customWidth="1"/>
    <col min="1839" max="1839" width="13" customWidth="1"/>
    <col min="2090" max="2090" width="11.42578125" customWidth="1"/>
    <col min="2091" max="2091" width="46" customWidth="1"/>
    <col min="2092" max="2092" width="12" customWidth="1"/>
    <col min="2093" max="2093" width="8.85546875" customWidth="1"/>
    <col min="2094" max="2094" width="9.85546875" customWidth="1"/>
    <col min="2095" max="2095" width="13" customWidth="1"/>
    <col min="2346" max="2346" width="11.42578125" customWidth="1"/>
    <col min="2347" max="2347" width="46" customWidth="1"/>
    <col min="2348" max="2348" width="12" customWidth="1"/>
    <col min="2349" max="2349" width="8.85546875" customWidth="1"/>
    <col min="2350" max="2350" width="9.85546875" customWidth="1"/>
    <col min="2351" max="2351" width="13" customWidth="1"/>
    <col min="2602" max="2602" width="11.42578125" customWidth="1"/>
    <col min="2603" max="2603" width="46" customWidth="1"/>
    <col min="2604" max="2604" width="12" customWidth="1"/>
    <col min="2605" max="2605" width="8.85546875" customWidth="1"/>
    <col min="2606" max="2606" width="9.85546875" customWidth="1"/>
    <col min="2607" max="2607" width="13" customWidth="1"/>
    <col min="2858" max="2858" width="11.42578125" customWidth="1"/>
    <col min="2859" max="2859" width="46" customWidth="1"/>
    <col min="2860" max="2860" width="12" customWidth="1"/>
    <col min="2861" max="2861" width="8.85546875" customWidth="1"/>
    <col min="2862" max="2862" width="9.85546875" customWidth="1"/>
    <col min="2863" max="2863" width="13" customWidth="1"/>
    <col min="3114" max="3114" width="11.42578125" customWidth="1"/>
    <col min="3115" max="3115" width="46" customWidth="1"/>
    <col min="3116" max="3116" width="12" customWidth="1"/>
    <col min="3117" max="3117" width="8.85546875" customWidth="1"/>
    <col min="3118" max="3118" width="9.85546875" customWidth="1"/>
    <col min="3119" max="3119" width="13" customWidth="1"/>
    <col min="3370" max="3370" width="11.42578125" customWidth="1"/>
    <col min="3371" max="3371" width="46" customWidth="1"/>
    <col min="3372" max="3372" width="12" customWidth="1"/>
    <col min="3373" max="3373" width="8.85546875" customWidth="1"/>
    <col min="3374" max="3374" width="9.85546875" customWidth="1"/>
    <col min="3375" max="3375" width="13" customWidth="1"/>
    <col min="3626" max="3626" width="11.42578125" customWidth="1"/>
    <col min="3627" max="3627" width="46" customWidth="1"/>
    <col min="3628" max="3628" width="12" customWidth="1"/>
    <col min="3629" max="3629" width="8.85546875" customWidth="1"/>
    <col min="3630" max="3630" width="9.85546875" customWidth="1"/>
    <col min="3631" max="3631" width="13" customWidth="1"/>
    <col min="3882" max="3882" width="11.42578125" customWidth="1"/>
    <col min="3883" max="3883" width="46" customWidth="1"/>
    <col min="3884" max="3884" width="12" customWidth="1"/>
    <col min="3885" max="3885" width="8.85546875" customWidth="1"/>
    <col min="3886" max="3886" width="9.85546875" customWidth="1"/>
    <col min="3887" max="3887" width="13" customWidth="1"/>
    <col min="4138" max="4138" width="11.42578125" customWidth="1"/>
    <col min="4139" max="4139" width="46" customWidth="1"/>
    <col min="4140" max="4140" width="12" customWidth="1"/>
    <col min="4141" max="4141" width="8.85546875" customWidth="1"/>
    <col min="4142" max="4142" width="9.85546875" customWidth="1"/>
    <col min="4143" max="4143" width="13" customWidth="1"/>
    <col min="4394" max="4394" width="11.42578125" customWidth="1"/>
    <col min="4395" max="4395" width="46" customWidth="1"/>
    <col min="4396" max="4396" width="12" customWidth="1"/>
    <col min="4397" max="4397" width="8.85546875" customWidth="1"/>
    <col min="4398" max="4398" width="9.85546875" customWidth="1"/>
    <col min="4399" max="4399" width="13" customWidth="1"/>
    <col min="4650" max="4650" width="11.42578125" customWidth="1"/>
    <col min="4651" max="4651" width="46" customWidth="1"/>
    <col min="4652" max="4652" width="12" customWidth="1"/>
    <col min="4653" max="4653" width="8.85546875" customWidth="1"/>
    <col min="4654" max="4654" width="9.85546875" customWidth="1"/>
    <col min="4655" max="4655" width="13" customWidth="1"/>
    <col min="4906" max="4906" width="11.42578125" customWidth="1"/>
    <col min="4907" max="4907" width="46" customWidth="1"/>
    <col min="4908" max="4908" width="12" customWidth="1"/>
    <col min="4909" max="4909" width="8.85546875" customWidth="1"/>
    <col min="4910" max="4910" width="9.85546875" customWidth="1"/>
    <col min="4911" max="4911" width="13" customWidth="1"/>
    <col min="5162" max="5162" width="11.42578125" customWidth="1"/>
    <col min="5163" max="5163" width="46" customWidth="1"/>
    <col min="5164" max="5164" width="12" customWidth="1"/>
    <col min="5165" max="5165" width="8.85546875" customWidth="1"/>
    <col min="5166" max="5166" width="9.85546875" customWidth="1"/>
    <col min="5167" max="5167" width="13" customWidth="1"/>
    <col min="5418" max="5418" width="11.42578125" customWidth="1"/>
    <col min="5419" max="5419" width="46" customWidth="1"/>
    <col min="5420" max="5420" width="12" customWidth="1"/>
    <col min="5421" max="5421" width="8.85546875" customWidth="1"/>
    <col min="5422" max="5422" width="9.85546875" customWidth="1"/>
    <col min="5423" max="5423" width="13" customWidth="1"/>
    <col min="5674" max="5674" width="11.42578125" customWidth="1"/>
    <col min="5675" max="5675" width="46" customWidth="1"/>
    <col min="5676" max="5676" width="12" customWidth="1"/>
    <col min="5677" max="5677" width="8.85546875" customWidth="1"/>
    <col min="5678" max="5678" width="9.85546875" customWidth="1"/>
    <col min="5679" max="5679" width="13" customWidth="1"/>
    <col min="5930" max="5930" width="11.42578125" customWidth="1"/>
    <col min="5931" max="5931" width="46" customWidth="1"/>
    <col min="5932" max="5932" width="12" customWidth="1"/>
    <col min="5933" max="5933" width="8.85546875" customWidth="1"/>
    <col min="5934" max="5934" width="9.85546875" customWidth="1"/>
    <col min="5935" max="5935" width="13" customWidth="1"/>
    <col min="6186" max="6186" width="11.42578125" customWidth="1"/>
    <col min="6187" max="6187" width="46" customWidth="1"/>
    <col min="6188" max="6188" width="12" customWidth="1"/>
    <col min="6189" max="6189" width="8.85546875" customWidth="1"/>
    <col min="6190" max="6190" width="9.85546875" customWidth="1"/>
    <col min="6191" max="6191" width="13" customWidth="1"/>
    <col min="6442" max="6442" width="11.42578125" customWidth="1"/>
    <col min="6443" max="6443" width="46" customWidth="1"/>
    <col min="6444" max="6444" width="12" customWidth="1"/>
    <col min="6445" max="6445" width="8.85546875" customWidth="1"/>
    <col min="6446" max="6446" width="9.85546875" customWidth="1"/>
    <col min="6447" max="6447" width="13" customWidth="1"/>
    <col min="6698" max="6698" width="11.42578125" customWidth="1"/>
    <col min="6699" max="6699" width="46" customWidth="1"/>
    <col min="6700" max="6700" width="12" customWidth="1"/>
    <col min="6701" max="6701" width="8.85546875" customWidth="1"/>
    <col min="6702" max="6702" width="9.85546875" customWidth="1"/>
    <col min="6703" max="6703" width="13" customWidth="1"/>
    <col min="6954" max="6954" width="11.42578125" customWidth="1"/>
    <col min="6955" max="6955" width="46" customWidth="1"/>
    <col min="6956" max="6956" width="12" customWidth="1"/>
    <col min="6957" max="6957" width="8.85546875" customWidth="1"/>
    <col min="6958" max="6958" width="9.85546875" customWidth="1"/>
    <col min="6959" max="6959" width="13" customWidth="1"/>
    <col min="7210" max="7210" width="11.42578125" customWidth="1"/>
    <col min="7211" max="7211" width="46" customWidth="1"/>
    <col min="7212" max="7212" width="12" customWidth="1"/>
    <col min="7213" max="7213" width="8.85546875" customWidth="1"/>
    <col min="7214" max="7214" width="9.85546875" customWidth="1"/>
    <col min="7215" max="7215" width="13" customWidth="1"/>
    <col min="7466" max="7466" width="11.42578125" customWidth="1"/>
    <col min="7467" max="7467" width="46" customWidth="1"/>
    <col min="7468" max="7468" width="12" customWidth="1"/>
    <col min="7469" max="7469" width="8.85546875" customWidth="1"/>
    <col min="7470" max="7470" width="9.85546875" customWidth="1"/>
    <col min="7471" max="7471" width="13" customWidth="1"/>
    <col min="7722" max="7722" width="11.42578125" customWidth="1"/>
    <col min="7723" max="7723" width="46" customWidth="1"/>
    <col min="7724" max="7724" width="12" customWidth="1"/>
    <col min="7725" max="7725" width="8.85546875" customWidth="1"/>
    <col min="7726" max="7726" width="9.85546875" customWidth="1"/>
    <col min="7727" max="7727" width="13" customWidth="1"/>
    <col min="7978" max="7978" width="11.42578125" customWidth="1"/>
    <col min="7979" max="7979" width="46" customWidth="1"/>
    <col min="7980" max="7980" width="12" customWidth="1"/>
    <col min="7981" max="7981" width="8.85546875" customWidth="1"/>
    <col min="7982" max="7982" width="9.85546875" customWidth="1"/>
    <col min="7983" max="7983" width="13" customWidth="1"/>
    <col min="8234" max="8234" width="11.42578125" customWidth="1"/>
    <col min="8235" max="8235" width="46" customWidth="1"/>
    <col min="8236" max="8236" width="12" customWidth="1"/>
    <col min="8237" max="8237" width="8.85546875" customWidth="1"/>
    <col min="8238" max="8238" width="9.85546875" customWidth="1"/>
    <col min="8239" max="8239" width="13" customWidth="1"/>
    <col min="8490" max="8490" width="11.42578125" customWidth="1"/>
    <col min="8491" max="8491" width="46" customWidth="1"/>
    <col min="8492" max="8492" width="12" customWidth="1"/>
    <col min="8493" max="8493" width="8.85546875" customWidth="1"/>
    <col min="8494" max="8494" width="9.85546875" customWidth="1"/>
    <col min="8495" max="8495" width="13" customWidth="1"/>
    <col min="8746" max="8746" width="11.42578125" customWidth="1"/>
    <col min="8747" max="8747" width="46" customWidth="1"/>
    <col min="8748" max="8748" width="12" customWidth="1"/>
    <col min="8749" max="8749" width="8.85546875" customWidth="1"/>
    <col min="8750" max="8750" width="9.85546875" customWidth="1"/>
    <col min="8751" max="8751" width="13" customWidth="1"/>
    <col min="9002" max="9002" width="11.42578125" customWidth="1"/>
    <col min="9003" max="9003" width="46" customWidth="1"/>
    <col min="9004" max="9004" width="12" customWidth="1"/>
    <col min="9005" max="9005" width="8.85546875" customWidth="1"/>
    <col min="9006" max="9006" width="9.85546875" customWidth="1"/>
    <col min="9007" max="9007" width="13" customWidth="1"/>
    <col min="9258" max="9258" width="11.42578125" customWidth="1"/>
    <col min="9259" max="9259" width="46" customWidth="1"/>
    <col min="9260" max="9260" width="12" customWidth="1"/>
    <col min="9261" max="9261" width="8.85546875" customWidth="1"/>
    <col min="9262" max="9262" width="9.85546875" customWidth="1"/>
    <col min="9263" max="9263" width="13" customWidth="1"/>
    <col min="9514" max="9514" width="11.42578125" customWidth="1"/>
    <col min="9515" max="9515" width="46" customWidth="1"/>
    <col min="9516" max="9516" width="12" customWidth="1"/>
    <col min="9517" max="9517" width="8.85546875" customWidth="1"/>
    <col min="9518" max="9518" width="9.85546875" customWidth="1"/>
    <col min="9519" max="9519" width="13" customWidth="1"/>
    <col min="9770" max="9770" width="11.42578125" customWidth="1"/>
    <col min="9771" max="9771" width="46" customWidth="1"/>
    <col min="9772" max="9772" width="12" customWidth="1"/>
    <col min="9773" max="9773" width="8.85546875" customWidth="1"/>
    <col min="9774" max="9774" width="9.85546875" customWidth="1"/>
    <col min="9775" max="9775" width="13" customWidth="1"/>
    <col min="10026" max="10026" width="11.42578125" customWidth="1"/>
    <col min="10027" max="10027" width="46" customWidth="1"/>
    <col min="10028" max="10028" width="12" customWidth="1"/>
    <col min="10029" max="10029" width="8.85546875" customWidth="1"/>
    <col min="10030" max="10030" width="9.85546875" customWidth="1"/>
    <col min="10031" max="10031" width="13" customWidth="1"/>
    <col min="10282" max="10282" width="11.42578125" customWidth="1"/>
    <col min="10283" max="10283" width="46" customWidth="1"/>
    <col min="10284" max="10284" width="12" customWidth="1"/>
    <col min="10285" max="10285" width="8.85546875" customWidth="1"/>
    <col min="10286" max="10286" width="9.85546875" customWidth="1"/>
    <col min="10287" max="10287" width="13" customWidth="1"/>
    <col min="10538" max="10538" width="11.42578125" customWidth="1"/>
    <col min="10539" max="10539" width="46" customWidth="1"/>
    <col min="10540" max="10540" width="12" customWidth="1"/>
    <col min="10541" max="10541" width="8.85546875" customWidth="1"/>
    <col min="10542" max="10542" width="9.85546875" customWidth="1"/>
    <col min="10543" max="10543" width="13" customWidth="1"/>
    <col min="10794" max="10794" width="11.42578125" customWidth="1"/>
    <col min="10795" max="10795" width="46" customWidth="1"/>
    <col min="10796" max="10796" width="12" customWidth="1"/>
    <col min="10797" max="10797" width="8.85546875" customWidth="1"/>
    <col min="10798" max="10798" width="9.85546875" customWidth="1"/>
    <col min="10799" max="10799" width="13" customWidth="1"/>
    <col min="11050" max="11050" width="11.42578125" customWidth="1"/>
    <col min="11051" max="11051" width="46" customWidth="1"/>
    <col min="11052" max="11052" width="12" customWidth="1"/>
    <col min="11053" max="11053" width="8.85546875" customWidth="1"/>
    <col min="11054" max="11054" width="9.85546875" customWidth="1"/>
    <col min="11055" max="11055" width="13" customWidth="1"/>
    <col min="11306" max="11306" width="11.42578125" customWidth="1"/>
    <col min="11307" max="11307" width="46" customWidth="1"/>
    <col min="11308" max="11308" width="12" customWidth="1"/>
    <col min="11309" max="11309" width="8.85546875" customWidth="1"/>
    <col min="11310" max="11310" width="9.85546875" customWidth="1"/>
    <col min="11311" max="11311" width="13" customWidth="1"/>
    <col min="11562" max="11562" width="11.42578125" customWidth="1"/>
    <col min="11563" max="11563" width="46" customWidth="1"/>
    <col min="11564" max="11564" width="12" customWidth="1"/>
    <col min="11565" max="11565" width="8.85546875" customWidth="1"/>
    <col min="11566" max="11566" width="9.85546875" customWidth="1"/>
    <col min="11567" max="11567" width="13" customWidth="1"/>
    <col min="11818" max="11818" width="11.42578125" customWidth="1"/>
    <col min="11819" max="11819" width="46" customWidth="1"/>
    <col min="11820" max="11820" width="12" customWidth="1"/>
    <col min="11821" max="11821" width="8.85546875" customWidth="1"/>
    <col min="11822" max="11822" width="9.85546875" customWidth="1"/>
    <col min="11823" max="11823" width="13" customWidth="1"/>
    <col min="12074" max="12074" width="11.42578125" customWidth="1"/>
    <col min="12075" max="12075" width="46" customWidth="1"/>
    <col min="12076" max="12076" width="12" customWidth="1"/>
    <col min="12077" max="12077" width="8.85546875" customWidth="1"/>
    <col min="12078" max="12078" width="9.85546875" customWidth="1"/>
    <col min="12079" max="12079" width="13" customWidth="1"/>
    <col min="12330" max="12330" width="11.42578125" customWidth="1"/>
    <col min="12331" max="12331" width="46" customWidth="1"/>
    <col min="12332" max="12332" width="12" customWidth="1"/>
    <col min="12333" max="12333" width="8.85546875" customWidth="1"/>
    <col min="12334" max="12334" width="9.85546875" customWidth="1"/>
    <col min="12335" max="12335" width="13" customWidth="1"/>
    <col min="12586" max="12586" width="11.42578125" customWidth="1"/>
    <col min="12587" max="12587" width="46" customWidth="1"/>
    <col min="12588" max="12588" width="12" customWidth="1"/>
    <col min="12589" max="12589" width="8.85546875" customWidth="1"/>
    <col min="12590" max="12590" width="9.85546875" customWidth="1"/>
    <col min="12591" max="12591" width="13" customWidth="1"/>
    <col min="12842" max="12842" width="11.42578125" customWidth="1"/>
    <col min="12843" max="12843" width="46" customWidth="1"/>
    <col min="12844" max="12844" width="12" customWidth="1"/>
    <col min="12845" max="12845" width="8.85546875" customWidth="1"/>
    <col min="12846" max="12846" width="9.85546875" customWidth="1"/>
    <col min="12847" max="12847" width="13" customWidth="1"/>
    <col min="13098" max="13098" width="11.42578125" customWidth="1"/>
    <col min="13099" max="13099" width="46" customWidth="1"/>
    <col min="13100" max="13100" width="12" customWidth="1"/>
    <col min="13101" max="13101" width="8.85546875" customWidth="1"/>
    <col min="13102" max="13102" width="9.85546875" customWidth="1"/>
    <col min="13103" max="13103" width="13" customWidth="1"/>
    <col min="13354" max="13354" width="11.42578125" customWidth="1"/>
    <col min="13355" max="13355" width="46" customWidth="1"/>
    <col min="13356" max="13356" width="12" customWidth="1"/>
    <col min="13357" max="13357" width="8.85546875" customWidth="1"/>
    <col min="13358" max="13358" width="9.85546875" customWidth="1"/>
    <col min="13359" max="13359" width="13" customWidth="1"/>
    <col min="13610" max="13610" width="11.42578125" customWidth="1"/>
    <col min="13611" max="13611" width="46" customWidth="1"/>
    <col min="13612" max="13612" width="12" customWidth="1"/>
    <col min="13613" max="13613" width="8.85546875" customWidth="1"/>
    <col min="13614" max="13614" width="9.85546875" customWidth="1"/>
    <col min="13615" max="13615" width="13" customWidth="1"/>
    <col min="13866" max="13866" width="11.42578125" customWidth="1"/>
    <col min="13867" max="13867" width="46" customWidth="1"/>
    <col min="13868" max="13868" width="12" customWidth="1"/>
    <col min="13869" max="13869" width="8.85546875" customWidth="1"/>
    <col min="13870" max="13870" width="9.85546875" customWidth="1"/>
    <col min="13871" max="13871" width="13" customWidth="1"/>
    <col min="14122" max="14122" width="11.42578125" customWidth="1"/>
    <col min="14123" max="14123" width="46" customWidth="1"/>
    <col min="14124" max="14124" width="12" customWidth="1"/>
    <col min="14125" max="14125" width="8.85546875" customWidth="1"/>
    <col min="14126" max="14126" width="9.85546875" customWidth="1"/>
    <col min="14127" max="14127" width="13" customWidth="1"/>
    <col min="14378" max="14378" width="11.42578125" customWidth="1"/>
    <col min="14379" max="14379" width="46" customWidth="1"/>
    <col min="14380" max="14380" width="12" customWidth="1"/>
    <col min="14381" max="14381" width="8.85546875" customWidth="1"/>
    <col min="14382" max="14382" width="9.85546875" customWidth="1"/>
    <col min="14383" max="14383" width="13" customWidth="1"/>
    <col min="14634" max="14634" width="11.42578125" customWidth="1"/>
    <col min="14635" max="14635" width="46" customWidth="1"/>
    <col min="14636" max="14636" width="12" customWidth="1"/>
    <col min="14637" max="14637" width="8.85546875" customWidth="1"/>
    <col min="14638" max="14638" width="9.85546875" customWidth="1"/>
    <col min="14639" max="14639" width="13" customWidth="1"/>
    <col min="14890" max="14890" width="11.42578125" customWidth="1"/>
    <col min="14891" max="14891" width="46" customWidth="1"/>
    <col min="14892" max="14892" width="12" customWidth="1"/>
    <col min="14893" max="14893" width="8.85546875" customWidth="1"/>
    <col min="14894" max="14894" width="9.85546875" customWidth="1"/>
    <col min="14895" max="14895" width="13" customWidth="1"/>
    <col min="15146" max="15146" width="11.42578125" customWidth="1"/>
    <col min="15147" max="15147" width="46" customWidth="1"/>
    <col min="15148" max="15148" width="12" customWidth="1"/>
    <col min="15149" max="15149" width="8.85546875" customWidth="1"/>
    <col min="15150" max="15150" width="9.85546875" customWidth="1"/>
    <col min="15151" max="15151" width="13" customWidth="1"/>
    <col min="15402" max="15402" width="11.42578125" customWidth="1"/>
    <col min="15403" max="15403" width="46" customWidth="1"/>
    <col min="15404" max="15404" width="12" customWidth="1"/>
    <col min="15405" max="15405" width="8.85546875" customWidth="1"/>
    <col min="15406" max="15406" width="9.85546875" customWidth="1"/>
    <col min="15407" max="15407" width="13" customWidth="1"/>
    <col min="15658" max="15658" width="11.42578125" customWidth="1"/>
    <col min="15659" max="15659" width="46" customWidth="1"/>
    <col min="15660" max="15660" width="12" customWidth="1"/>
    <col min="15661" max="15661" width="8.85546875" customWidth="1"/>
    <col min="15662" max="15662" width="9.85546875" customWidth="1"/>
    <col min="15663" max="15663" width="13" customWidth="1"/>
    <col min="15914" max="15914" width="11.42578125" customWidth="1"/>
    <col min="15915" max="15915" width="46" customWidth="1"/>
    <col min="15916" max="15916" width="12" customWidth="1"/>
    <col min="15917" max="15917" width="8.85546875" customWidth="1"/>
    <col min="15918" max="15918" width="9.85546875" customWidth="1"/>
    <col min="15919" max="15919" width="13" customWidth="1"/>
  </cols>
  <sheetData>
    <row r="1" spans="1:9" s="92" customFormat="1" ht="15.75">
      <c r="A1" s="85" t="s">
        <v>868</v>
      </c>
      <c r="B1" s="86" t="s">
        <v>883</v>
      </c>
      <c r="C1" s="87"/>
      <c r="D1" s="88"/>
      <c r="E1" s="88"/>
      <c r="F1" s="89"/>
      <c r="G1" s="90"/>
      <c r="H1" s="87"/>
      <c r="I1" s="91"/>
    </row>
    <row r="2" spans="1:9" s="92" customFormat="1" ht="16.5" thickBot="1">
      <c r="A2" s="85" t="s">
        <v>869</v>
      </c>
      <c r="B2" s="93"/>
      <c r="C2" s="94"/>
      <c r="D2" s="95"/>
      <c r="E2" s="95"/>
      <c r="F2" s="96"/>
      <c r="G2" s="97"/>
      <c r="H2" s="94"/>
      <c r="I2" s="98"/>
    </row>
    <row r="3" spans="1:9" s="92" customFormat="1" ht="16.5" thickBot="1">
      <c r="A3" s="85" t="s">
        <v>870</v>
      </c>
      <c r="B3" s="93"/>
      <c r="C3" s="271"/>
      <c r="D3" s="271"/>
      <c r="E3" s="271"/>
      <c r="F3" s="99" t="s">
        <v>871</v>
      </c>
      <c r="G3" s="100">
        <v>150</v>
      </c>
      <c r="H3" s="94"/>
      <c r="I3" s="98"/>
    </row>
    <row r="4" spans="1:9" s="92" customFormat="1" ht="15.75">
      <c r="A4" s="85" t="s">
        <v>872</v>
      </c>
      <c r="B4" s="93"/>
      <c r="C4" s="271"/>
      <c r="D4" s="271"/>
      <c r="E4" s="271"/>
      <c r="F4" s="99" t="s">
        <v>884</v>
      </c>
      <c r="G4" s="101">
        <v>1000</v>
      </c>
      <c r="H4" s="164"/>
      <c r="I4" s="98"/>
    </row>
    <row r="5" spans="1:9" s="92" customFormat="1" ht="15.75">
      <c r="A5" s="85" t="s">
        <v>875</v>
      </c>
      <c r="B5" s="93"/>
      <c r="C5" s="271"/>
      <c r="D5" s="271"/>
      <c r="E5" s="271"/>
      <c r="F5" s="99" t="s">
        <v>873</v>
      </c>
      <c r="G5" s="95" t="s">
        <v>885</v>
      </c>
      <c r="H5" s="164"/>
      <c r="I5" s="98"/>
    </row>
    <row r="6" spans="1:9" s="92" customFormat="1" ht="15.75">
      <c r="A6" s="85" t="s">
        <v>876</v>
      </c>
      <c r="B6" s="93"/>
      <c r="C6" s="271"/>
      <c r="D6" s="271"/>
      <c r="E6" s="271"/>
      <c r="F6" s="99"/>
      <c r="G6" s="95"/>
      <c r="H6" s="164"/>
      <c r="I6" s="98"/>
    </row>
    <row r="7" spans="1:9" s="92" customFormat="1" ht="15.75">
      <c r="A7" s="85" t="s">
        <v>879</v>
      </c>
      <c r="B7" s="93"/>
      <c r="C7" s="271"/>
      <c r="D7" s="271"/>
      <c r="E7" s="271"/>
      <c r="F7" s="99" t="s">
        <v>877</v>
      </c>
      <c r="G7" s="95" t="s">
        <v>878</v>
      </c>
      <c r="H7" s="164"/>
      <c r="I7" s="98"/>
    </row>
    <row r="8" spans="1:9" s="92" customFormat="1" ht="15.75">
      <c r="A8" s="85" t="s">
        <v>880</v>
      </c>
      <c r="B8" s="93"/>
      <c r="C8" s="94"/>
      <c r="D8" s="95"/>
      <c r="E8" s="95"/>
      <c r="F8" s="96"/>
      <c r="G8" s="97"/>
      <c r="H8" s="94"/>
      <c r="I8" s="98"/>
    </row>
    <row r="9" spans="1:9" s="92" customFormat="1" ht="15.75">
      <c r="A9" s="85" t="s">
        <v>881</v>
      </c>
      <c r="B9" s="93"/>
      <c r="C9" s="94"/>
      <c r="D9" s="95"/>
      <c r="E9" s="95"/>
      <c r="F9" s="96"/>
      <c r="G9" s="97"/>
      <c r="H9" s="94"/>
      <c r="I9" s="98"/>
    </row>
    <row r="10" spans="1:9" s="92" customFormat="1" ht="16.5" thickBot="1">
      <c r="A10" s="102" t="s">
        <v>882</v>
      </c>
      <c r="B10" s="103"/>
      <c r="C10" s="94"/>
      <c r="D10" s="95"/>
      <c r="E10" s="95"/>
      <c r="F10" s="96"/>
      <c r="G10" s="97"/>
      <c r="H10" s="94"/>
      <c r="I10" s="98"/>
    </row>
    <row r="11" spans="1:9" s="92" customFormat="1" ht="27" thickBot="1">
      <c r="A11" s="104" t="s">
        <v>20</v>
      </c>
      <c r="B11" s="105" t="s">
        <v>886</v>
      </c>
      <c r="C11" s="105" t="s">
        <v>887</v>
      </c>
      <c r="D11" s="106" t="s">
        <v>16</v>
      </c>
      <c r="E11" s="107" t="s">
        <v>888</v>
      </c>
      <c r="F11" s="310" t="s">
        <v>889</v>
      </c>
      <c r="G11" s="108" t="s">
        <v>890</v>
      </c>
      <c r="H11" s="94"/>
      <c r="I11" s="98"/>
    </row>
    <row r="12" spans="1:9" s="92" customFormat="1" ht="15.75">
      <c r="A12" s="109" t="s">
        <v>891</v>
      </c>
      <c r="B12" s="110" t="s">
        <v>892</v>
      </c>
      <c r="C12" s="111" t="s">
        <v>893</v>
      </c>
      <c r="D12" s="112">
        <v>5.0599999999999996</v>
      </c>
      <c r="E12" s="113">
        <f t="shared" ref="E12:E19" si="0">IF(C12=11,65%,4%)</f>
        <v>0.04</v>
      </c>
      <c r="F12" s="114"/>
      <c r="G12" s="115">
        <f t="shared" ref="G12:G35" si="1">D12*(1-E12)*F12</f>
        <v>0</v>
      </c>
      <c r="H12" s="94"/>
      <c r="I12" s="98"/>
    </row>
    <row r="13" spans="1:9" s="92" customFormat="1" ht="15.75">
      <c r="A13" s="116" t="s">
        <v>894</v>
      </c>
      <c r="B13" s="117" t="s">
        <v>895</v>
      </c>
      <c r="C13" s="118" t="s">
        <v>893</v>
      </c>
      <c r="D13" s="119">
        <v>5.0599999999999996</v>
      </c>
      <c r="E13" s="120">
        <f t="shared" si="0"/>
        <v>0.04</v>
      </c>
      <c r="F13" s="121"/>
      <c r="G13" s="122">
        <f t="shared" si="1"/>
        <v>0</v>
      </c>
      <c r="H13" s="94"/>
      <c r="I13" s="98"/>
    </row>
    <row r="14" spans="1:9" s="92" customFormat="1" ht="15.75">
      <c r="A14" s="116" t="s">
        <v>896</v>
      </c>
      <c r="B14" s="117" t="s">
        <v>897</v>
      </c>
      <c r="C14" s="118" t="s">
        <v>893</v>
      </c>
      <c r="D14" s="119">
        <v>3.46</v>
      </c>
      <c r="E14" s="120">
        <f t="shared" si="0"/>
        <v>0.04</v>
      </c>
      <c r="F14" s="121"/>
      <c r="G14" s="122">
        <f t="shared" si="1"/>
        <v>0</v>
      </c>
      <c r="H14" s="94"/>
      <c r="I14" s="98"/>
    </row>
    <row r="15" spans="1:9" s="92" customFormat="1" ht="15.75">
      <c r="A15" s="116" t="s">
        <v>898</v>
      </c>
      <c r="B15" s="117" t="s">
        <v>899</v>
      </c>
      <c r="C15" s="118" t="s">
        <v>893</v>
      </c>
      <c r="D15" s="119">
        <v>6.25</v>
      </c>
      <c r="E15" s="120">
        <f t="shared" si="0"/>
        <v>0.04</v>
      </c>
      <c r="F15" s="121"/>
      <c r="G15" s="122">
        <f t="shared" si="1"/>
        <v>0</v>
      </c>
      <c r="H15" s="94"/>
      <c r="I15" s="98"/>
    </row>
    <row r="16" spans="1:9" s="92" customFormat="1" ht="15.75">
      <c r="A16" s="116" t="s">
        <v>900</v>
      </c>
      <c r="B16" s="117" t="s">
        <v>901</v>
      </c>
      <c r="C16" s="118" t="s">
        <v>893</v>
      </c>
      <c r="D16" s="119">
        <v>2.56</v>
      </c>
      <c r="E16" s="120">
        <f t="shared" si="0"/>
        <v>0.04</v>
      </c>
      <c r="F16" s="121"/>
      <c r="G16" s="122">
        <f t="shared" si="1"/>
        <v>0</v>
      </c>
      <c r="H16" s="94"/>
      <c r="I16" s="98"/>
    </row>
    <row r="17" spans="1:9" s="92" customFormat="1" ht="15.75">
      <c r="A17" s="123" t="s">
        <v>902</v>
      </c>
      <c r="B17" s="124" t="s">
        <v>903</v>
      </c>
      <c r="C17" s="118" t="s">
        <v>893</v>
      </c>
      <c r="D17" s="125">
        <v>2.23</v>
      </c>
      <c r="E17" s="126">
        <f t="shared" si="0"/>
        <v>0.04</v>
      </c>
      <c r="F17" s="121"/>
      <c r="G17" s="127">
        <f t="shared" si="1"/>
        <v>0</v>
      </c>
      <c r="H17" s="94"/>
      <c r="I17" s="98"/>
    </row>
    <row r="18" spans="1:9" s="92" customFormat="1" ht="15.75">
      <c r="A18" s="123" t="s">
        <v>904</v>
      </c>
      <c r="B18" s="124" t="s">
        <v>905</v>
      </c>
      <c r="C18" s="118" t="s">
        <v>893</v>
      </c>
      <c r="D18" s="125">
        <v>3.01</v>
      </c>
      <c r="E18" s="126">
        <f t="shared" si="0"/>
        <v>0.04</v>
      </c>
      <c r="F18" s="121"/>
      <c r="G18" s="127">
        <f t="shared" si="1"/>
        <v>0</v>
      </c>
      <c r="H18" s="94"/>
      <c r="I18" s="98"/>
    </row>
    <row r="19" spans="1:9" s="92" customFormat="1" ht="16.5" thickBot="1">
      <c r="A19" s="296" t="s">
        <v>906</v>
      </c>
      <c r="B19" s="297" t="s">
        <v>907</v>
      </c>
      <c r="C19" s="298" t="s">
        <v>893</v>
      </c>
      <c r="D19" s="299">
        <v>5.32</v>
      </c>
      <c r="E19" s="300">
        <f t="shared" si="0"/>
        <v>0.04</v>
      </c>
      <c r="F19" s="121"/>
      <c r="G19" s="127">
        <f t="shared" si="1"/>
        <v>0</v>
      </c>
      <c r="H19" s="94"/>
      <c r="I19" s="98"/>
    </row>
    <row r="20" spans="1:9" s="92" customFormat="1" ht="15.75">
      <c r="A20" s="319" t="s">
        <v>1077</v>
      </c>
      <c r="B20" s="320" t="s">
        <v>1078</v>
      </c>
      <c r="C20" s="321"/>
      <c r="D20" s="322">
        <v>28.63</v>
      </c>
      <c r="E20" s="323">
        <f>IF(C20=11,65%,2%)</f>
        <v>0.02</v>
      </c>
      <c r="F20" s="137"/>
      <c r="G20" s="331">
        <f t="shared" si="1"/>
        <v>0</v>
      </c>
      <c r="H20" s="94"/>
      <c r="I20" s="98"/>
    </row>
    <row r="21" spans="1:9" s="92" customFormat="1" ht="15.75">
      <c r="A21" s="324" t="s">
        <v>1079</v>
      </c>
      <c r="B21" s="316" t="s">
        <v>1080</v>
      </c>
      <c r="C21" s="317"/>
      <c r="D21" s="318">
        <v>30.14</v>
      </c>
      <c r="E21" s="325">
        <f>IF(C21=11,65%,2%)</f>
        <v>0.02</v>
      </c>
      <c r="F21" s="137"/>
      <c r="G21" s="332">
        <f t="shared" si="1"/>
        <v>0</v>
      </c>
      <c r="H21" s="94"/>
      <c r="I21" s="98"/>
    </row>
    <row r="22" spans="1:9" s="92" customFormat="1" ht="15.75">
      <c r="A22" s="324"/>
      <c r="B22" s="316"/>
      <c r="C22" s="317"/>
      <c r="D22" s="318"/>
      <c r="E22" s="325"/>
      <c r="F22" s="137"/>
      <c r="G22" s="332"/>
      <c r="H22" s="94"/>
      <c r="I22" s="98"/>
    </row>
    <row r="23" spans="1:9" s="92" customFormat="1" ht="16.5" thickBot="1">
      <c r="A23" s="326"/>
      <c r="B23" s="327"/>
      <c r="C23" s="328"/>
      <c r="D23" s="329"/>
      <c r="E23" s="330"/>
      <c r="F23" s="137"/>
      <c r="G23" s="333"/>
      <c r="H23" s="94"/>
      <c r="I23" s="98"/>
    </row>
    <row r="24" spans="1:9" s="92" customFormat="1" ht="15.75">
      <c r="A24" s="312" t="s">
        <v>908</v>
      </c>
      <c r="B24" s="313" t="s">
        <v>909</v>
      </c>
      <c r="C24" s="130" t="s">
        <v>910</v>
      </c>
      <c r="D24" s="314">
        <v>7.79</v>
      </c>
      <c r="E24" s="315">
        <v>0.02</v>
      </c>
      <c r="F24" s="121"/>
      <c r="G24" s="301">
        <f t="shared" si="1"/>
        <v>0</v>
      </c>
      <c r="H24" s="94"/>
      <c r="I24" s="98"/>
    </row>
    <row r="25" spans="1:9" s="92" customFormat="1" ht="15.75">
      <c r="A25" s="128"/>
      <c r="B25" s="129"/>
      <c r="C25" s="130"/>
      <c r="D25" s="131"/>
      <c r="E25" s="306"/>
      <c r="F25" s="121"/>
      <c r="G25" s="302">
        <f t="shared" si="1"/>
        <v>0</v>
      </c>
      <c r="H25" s="94"/>
      <c r="I25" s="98"/>
    </row>
    <row r="26" spans="1:9" s="92" customFormat="1" ht="16.5" thickBot="1">
      <c r="A26" s="128"/>
      <c r="B26" s="129"/>
      <c r="C26" s="132"/>
      <c r="D26" s="131"/>
      <c r="E26" s="306"/>
      <c r="F26" s="121"/>
      <c r="G26" s="302">
        <f t="shared" si="1"/>
        <v>0</v>
      </c>
      <c r="H26" s="94"/>
      <c r="I26" s="98"/>
    </row>
    <row r="27" spans="1:9" s="92" customFormat="1" ht="15.75">
      <c r="A27" s="133" t="s">
        <v>911</v>
      </c>
      <c r="B27" s="134" t="s">
        <v>912</v>
      </c>
      <c r="C27" s="135" t="s">
        <v>913</v>
      </c>
      <c r="D27" s="136">
        <v>5.39</v>
      </c>
      <c r="E27" s="307">
        <v>0.02</v>
      </c>
      <c r="F27" s="121"/>
      <c r="G27" s="303">
        <f t="shared" si="1"/>
        <v>0</v>
      </c>
      <c r="H27" s="94"/>
      <c r="I27" s="98"/>
    </row>
    <row r="28" spans="1:9" s="92" customFormat="1" ht="15.75">
      <c r="A28" s="138"/>
      <c r="B28" s="139"/>
      <c r="C28" s="140"/>
      <c r="D28" s="141"/>
      <c r="E28" s="308"/>
      <c r="F28" s="121"/>
      <c r="G28" s="304">
        <f t="shared" si="1"/>
        <v>0</v>
      </c>
      <c r="H28" s="94"/>
      <c r="I28" s="98"/>
    </row>
    <row r="29" spans="1:9" s="92" customFormat="1" ht="16.5" thickBot="1">
      <c r="A29" s="142"/>
      <c r="B29" s="143"/>
      <c r="C29" s="144"/>
      <c r="D29" s="145"/>
      <c r="E29" s="309"/>
      <c r="F29" s="121"/>
      <c r="G29" s="305">
        <f t="shared" si="1"/>
        <v>0</v>
      </c>
      <c r="H29" s="94"/>
      <c r="I29" s="98"/>
    </row>
    <row r="30" spans="1:9" s="92" customFormat="1" ht="15.75">
      <c r="A30" s="146" t="s">
        <v>914</v>
      </c>
      <c r="B30" s="147" t="s">
        <v>915</v>
      </c>
      <c r="C30" s="148" t="s">
        <v>916</v>
      </c>
      <c r="D30" s="149">
        <v>1.56</v>
      </c>
      <c r="E30" s="150">
        <f t="shared" ref="E30:E33" si="2">IF(C30=11,65%,4%)</f>
        <v>0.04</v>
      </c>
      <c r="F30" s="121"/>
      <c r="G30" s="151">
        <f t="shared" si="1"/>
        <v>0</v>
      </c>
      <c r="H30" s="94"/>
      <c r="I30" s="98"/>
    </row>
    <row r="31" spans="1:9" s="92" customFormat="1" ht="15.75">
      <c r="A31" s="152" t="s">
        <v>917</v>
      </c>
      <c r="B31" s="153" t="s">
        <v>918</v>
      </c>
      <c r="C31" s="148" t="s">
        <v>919</v>
      </c>
      <c r="D31" s="154">
        <v>1.84</v>
      </c>
      <c r="E31" s="155">
        <f t="shared" si="2"/>
        <v>0.04</v>
      </c>
      <c r="F31" s="121"/>
      <c r="G31" s="156">
        <f t="shared" si="1"/>
        <v>0</v>
      </c>
      <c r="H31" s="94"/>
      <c r="I31" s="98"/>
    </row>
    <row r="32" spans="1:9" s="92" customFormat="1" ht="15.75">
      <c r="A32" s="152" t="s">
        <v>920</v>
      </c>
      <c r="B32" s="153" t="s">
        <v>921</v>
      </c>
      <c r="C32" s="148" t="s">
        <v>919</v>
      </c>
      <c r="D32" s="154">
        <v>1.84</v>
      </c>
      <c r="E32" s="155">
        <f t="shared" si="2"/>
        <v>0.04</v>
      </c>
      <c r="F32" s="121"/>
      <c r="G32" s="156">
        <f t="shared" si="1"/>
        <v>0</v>
      </c>
      <c r="H32" s="94"/>
      <c r="I32" s="98"/>
    </row>
    <row r="33" spans="1:9" s="92" customFormat="1" ht="15.75">
      <c r="A33" s="152" t="s">
        <v>922</v>
      </c>
      <c r="B33" s="153" t="s">
        <v>923</v>
      </c>
      <c r="C33" s="148" t="s">
        <v>919</v>
      </c>
      <c r="D33" s="154">
        <v>2</v>
      </c>
      <c r="E33" s="155">
        <f t="shared" si="2"/>
        <v>0.04</v>
      </c>
      <c r="F33" s="121"/>
      <c r="G33" s="156">
        <f t="shared" si="1"/>
        <v>0</v>
      </c>
      <c r="H33" s="94"/>
      <c r="I33" s="98"/>
    </row>
    <row r="34" spans="1:9" s="92" customFormat="1" ht="16.5" thickBot="1">
      <c r="A34" s="152"/>
      <c r="B34" s="153"/>
      <c r="C34" s="148"/>
      <c r="D34" s="154"/>
      <c r="E34" s="155"/>
      <c r="F34" s="162"/>
      <c r="G34" s="156">
        <f t="shared" si="1"/>
        <v>0</v>
      </c>
      <c r="H34" s="94"/>
      <c r="I34" s="98"/>
    </row>
    <row r="35" spans="1:9" s="92" customFormat="1" ht="16.5" thickBot="1">
      <c r="A35" s="157"/>
      <c r="B35" s="158"/>
      <c r="C35" s="159"/>
      <c r="D35" s="160"/>
      <c r="E35" s="161"/>
      <c r="F35" s="311"/>
      <c r="G35" s="163">
        <f t="shared" si="1"/>
        <v>0</v>
      </c>
      <c r="H35" s="94"/>
      <c r="I35" s="98"/>
    </row>
    <row r="36" spans="1:9" s="92" customFormat="1" ht="16.5" thickBot="1">
      <c r="A36" s="164"/>
      <c r="B36" s="94"/>
      <c r="C36" s="94"/>
      <c r="D36" s="95"/>
      <c r="E36" s="95"/>
      <c r="F36" s="96"/>
      <c r="G36" s="165">
        <f>SUM(G12:G35)</f>
        <v>0</v>
      </c>
      <c r="H36" s="94"/>
      <c r="I36" s="98"/>
    </row>
    <row r="37" spans="1:9">
      <c r="A37" s="166"/>
      <c r="B37" s="167"/>
      <c r="C37" s="167"/>
      <c r="D37" s="168"/>
      <c r="E37" s="168"/>
      <c r="F37" s="169"/>
      <c r="G37" s="170"/>
      <c r="H37" s="167"/>
      <c r="I37" s="171"/>
    </row>
    <row r="38" spans="1:9">
      <c r="A38" s="166"/>
      <c r="B38" s="167"/>
      <c r="C38" s="167"/>
      <c r="D38" s="168"/>
      <c r="E38" s="168"/>
      <c r="F38" s="169"/>
      <c r="G38" s="170"/>
      <c r="H38" s="167"/>
      <c r="I38" s="171"/>
    </row>
    <row r="39" spans="1:9">
      <c r="A39" s="172"/>
      <c r="B39" s="173"/>
      <c r="C39" s="173"/>
      <c r="D39" s="174"/>
      <c r="E39" s="174"/>
      <c r="F39" s="175"/>
      <c r="G39" s="176"/>
      <c r="H39" s="173"/>
      <c r="I39" s="177"/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K134"/>
  <sheetViews>
    <sheetView tabSelected="1" zoomScale="85" zoomScaleNormal="85" workbookViewId="0">
      <selection activeCell="J11" sqref="J11"/>
    </sheetView>
  </sheetViews>
  <sheetFormatPr baseColWidth="10" defaultRowHeight="15"/>
  <cols>
    <col min="1" max="1" width="23.28515625" customWidth="1"/>
    <col min="2" max="2" width="54.42578125" customWidth="1"/>
    <col min="3" max="4" width="14.28515625" customWidth="1"/>
    <col min="5" max="6" width="16.42578125" customWidth="1"/>
    <col min="7" max="7" width="18.5703125" customWidth="1"/>
    <col min="8" max="8" width="18.7109375" customWidth="1"/>
    <col min="9" max="9" width="30.28515625" customWidth="1"/>
  </cols>
  <sheetData>
    <row r="1" spans="1:11" ht="15.75">
      <c r="A1" s="85" t="s">
        <v>868</v>
      </c>
      <c r="B1" s="86" t="s">
        <v>883</v>
      </c>
      <c r="C1" s="281"/>
      <c r="D1" s="282"/>
      <c r="E1" s="282"/>
      <c r="F1" s="283"/>
      <c r="G1" s="284"/>
      <c r="H1" s="285"/>
      <c r="I1" s="286"/>
    </row>
    <row r="2" spans="1:11" ht="16.5" thickBot="1">
      <c r="A2" s="85" t="s">
        <v>869</v>
      </c>
      <c r="B2" s="93"/>
      <c r="C2" s="287"/>
      <c r="D2" s="95"/>
      <c r="E2" s="95"/>
      <c r="F2" s="96"/>
      <c r="G2" s="273"/>
      <c r="H2" s="167"/>
      <c r="I2" s="288"/>
    </row>
    <row r="3" spans="1:11" ht="16.5" thickBot="1">
      <c r="A3" s="85" t="s">
        <v>870</v>
      </c>
      <c r="B3" s="93"/>
      <c r="C3" s="289"/>
      <c r="D3" s="99" t="s">
        <v>871</v>
      </c>
      <c r="E3" s="100">
        <v>60</v>
      </c>
      <c r="F3" s="95"/>
      <c r="G3" s="273"/>
      <c r="H3" s="167"/>
      <c r="I3" s="288"/>
    </row>
    <row r="4" spans="1:11" ht="15.75">
      <c r="A4" s="85" t="s">
        <v>872</v>
      </c>
      <c r="B4" s="93"/>
      <c r="C4" s="289"/>
      <c r="D4" s="99" t="s">
        <v>884</v>
      </c>
      <c r="E4" s="101">
        <v>1000</v>
      </c>
      <c r="F4" s="95"/>
      <c r="G4" s="273"/>
      <c r="H4" s="167"/>
      <c r="I4" s="288"/>
    </row>
    <row r="5" spans="1:11" ht="15.75">
      <c r="A5" s="85" t="s">
        <v>875</v>
      </c>
      <c r="B5" s="93"/>
      <c r="C5" s="289"/>
      <c r="D5" s="99" t="s">
        <v>873</v>
      </c>
      <c r="E5" s="95" t="s">
        <v>885</v>
      </c>
      <c r="F5" s="95"/>
      <c r="G5" s="273"/>
      <c r="H5" s="167"/>
      <c r="I5" s="288"/>
    </row>
    <row r="6" spans="1:11" ht="15.75">
      <c r="A6" s="85" t="s">
        <v>1081</v>
      </c>
      <c r="B6" s="93"/>
      <c r="C6" s="289"/>
      <c r="D6" s="99"/>
      <c r="E6" s="95"/>
      <c r="F6" s="95"/>
      <c r="G6" s="273"/>
      <c r="H6" s="167"/>
      <c r="I6" s="288"/>
    </row>
    <row r="7" spans="1:11" ht="15.75">
      <c r="A7" s="85" t="s">
        <v>876</v>
      </c>
      <c r="B7" s="93"/>
      <c r="C7" s="289"/>
      <c r="D7" s="99"/>
      <c r="E7" s="95"/>
      <c r="F7" s="95"/>
      <c r="G7" s="273"/>
      <c r="H7" s="167"/>
      <c r="I7" s="288"/>
    </row>
    <row r="8" spans="1:11" ht="15.75">
      <c r="A8" s="85" t="s">
        <v>879</v>
      </c>
      <c r="B8" s="93"/>
      <c r="C8" s="289"/>
      <c r="D8" s="99" t="s">
        <v>877</v>
      </c>
      <c r="E8" s="95" t="s">
        <v>878</v>
      </c>
      <c r="F8" s="95"/>
      <c r="G8" s="273"/>
      <c r="H8" s="167"/>
      <c r="I8" s="288"/>
    </row>
    <row r="9" spans="1:11" ht="15.75">
      <c r="A9" s="85" t="s">
        <v>880</v>
      </c>
      <c r="B9" s="93"/>
      <c r="C9" s="287"/>
      <c r="D9" s="95"/>
      <c r="E9" s="95"/>
      <c r="F9" s="96"/>
      <c r="G9" s="273"/>
      <c r="H9" s="167"/>
      <c r="I9" s="288"/>
    </row>
    <row r="10" spans="1:11" ht="15.75">
      <c r="A10" s="85" t="s">
        <v>881</v>
      </c>
      <c r="B10" s="93"/>
      <c r="C10" s="287"/>
      <c r="D10" s="95"/>
      <c r="E10" s="95"/>
      <c r="F10" s="96"/>
      <c r="G10" s="273"/>
      <c r="H10" s="167"/>
      <c r="I10" s="288"/>
    </row>
    <row r="11" spans="1:11" ht="16.5" thickBot="1">
      <c r="A11" s="102" t="s">
        <v>882</v>
      </c>
      <c r="B11" s="103"/>
      <c r="C11" s="290"/>
      <c r="D11" s="291"/>
      <c r="E11" s="291"/>
      <c r="F11" s="292"/>
      <c r="G11" s="293"/>
      <c r="H11" s="294"/>
      <c r="I11" s="295"/>
    </row>
    <row r="12" spans="1:11" s="182" customFormat="1" ht="31.5" customHeight="1" thickBot="1">
      <c r="A12" s="253" t="s">
        <v>924</v>
      </c>
      <c r="B12" s="181" t="s">
        <v>925</v>
      </c>
      <c r="C12" s="275" t="s">
        <v>16</v>
      </c>
      <c r="D12" s="276" t="s">
        <v>926</v>
      </c>
      <c r="E12" s="277" t="s">
        <v>927</v>
      </c>
      <c r="F12" s="278" t="s">
        <v>928</v>
      </c>
      <c r="G12" s="279" t="s">
        <v>929</v>
      </c>
      <c r="H12" s="274" t="s">
        <v>890</v>
      </c>
      <c r="I12" s="280" t="s">
        <v>930</v>
      </c>
    </row>
    <row r="13" spans="1:11" s="189" customFormat="1" ht="19.5" thickBot="1">
      <c r="A13" s="183"/>
      <c r="B13" s="184" t="s">
        <v>931</v>
      </c>
      <c r="C13" s="185"/>
      <c r="D13" s="185"/>
      <c r="E13" s="185"/>
      <c r="F13" s="185"/>
      <c r="G13" s="186" t="s">
        <v>932</v>
      </c>
      <c r="H13" s="187"/>
      <c r="I13" s="188"/>
    </row>
    <row r="14" spans="1:11" s="189" customFormat="1" ht="16.5" thickBot="1">
      <c r="A14" s="255">
        <v>199</v>
      </c>
      <c r="B14" s="210" t="s">
        <v>933</v>
      </c>
      <c r="C14" s="190">
        <v>12.7</v>
      </c>
      <c r="D14" s="190">
        <v>19.95</v>
      </c>
      <c r="E14" s="190" t="s">
        <v>934</v>
      </c>
      <c r="F14" s="191" t="s">
        <v>935</v>
      </c>
      <c r="G14" s="192"/>
      <c r="H14" s="193">
        <f>IF(Tabla243[[#This Row],[ UNIDADES]]&lt;5,Tabla243[[#This Row],[PVL]]*Tabla243[[#This Row],[ UNIDADES]],IF(Tabla243[[#This Row],[ UNIDADES]]&lt;12,Tabla243[[#This Row],[PVL]]*Tabla243[[#This Row],[ UNIDADES]]*0.8,Tabla243[[#This Row],[PVL]]*Tabla243[[#This Row],[ UNIDADES]]*0.75))</f>
        <v>0</v>
      </c>
      <c r="I14" s="259" t="s">
        <v>936</v>
      </c>
    </row>
    <row r="15" spans="1:11" s="189" customFormat="1" ht="16.5" thickBot="1">
      <c r="A15" s="214">
        <v>216</v>
      </c>
      <c r="B15" s="215" t="s">
        <v>937</v>
      </c>
      <c r="C15" s="194">
        <v>6.15</v>
      </c>
      <c r="D15" s="194">
        <v>9.67</v>
      </c>
      <c r="E15" s="194" t="s">
        <v>934</v>
      </c>
      <c r="F15" s="195" t="s">
        <v>935</v>
      </c>
      <c r="G15" s="196"/>
      <c r="H15" s="193">
        <f>IF(Tabla243[[#This Row],[ UNIDADES]]&lt;5,Tabla243[[#This Row],[PVL]]*Tabla243[[#This Row],[ UNIDADES]],IF(Tabla243[[#This Row],[ UNIDADES]]&lt;12,Tabla243[[#This Row],[PVL]]*Tabla243[[#This Row],[ UNIDADES]]*0.8,Tabla243[[#This Row],[PVL]]*Tabla243[[#This Row],[ UNIDADES]]*0.75))</f>
        <v>0</v>
      </c>
      <c r="I15" s="260" t="s">
        <v>938</v>
      </c>
    </row>
    <row r="16" spans="1:11" s="199" customFormat="1" ht="16.5" thickBot="1">
      <c r="A16" s="214">
        <v>241</v>
      </c>
      <c r="B16" s="215" t="s">
        <v>939</v>
      </c>
      <c r="C16" s="194">
        <v>8.67</v>
      </c>
      <c r="D16" s="194">
        <v>13.5</v>
      </c>
      <c r="E16" s="194" t="s">
        <v>934</v>
      </c>
      <c r="F16" s="195" t="s">
        <v>935</v>
      </c>
      <c r="G16" s="196"/>
      <c r="H16" s="193">
        <f>IF(Tabla243[[#This Row],[ UNIDADES]]&lt;5,Tabla243[[#This Row],[PVL]]*Tabla243[[#This Row],[ UNIDADES]],IF(Tabla243[[#This Row],[ UNIDADES]]&lt;12,Tabla243[[#This Row],[PVL]]*Tabla243[[#This Row],[ UNIDADES]]*0.8,Tabla243[[#This Row],[PVL]]*Tabla243[[#This Row],[ UNIDADES]]*0.75))</f>
        <v>0</v>
      </c>
      <c r="I16" s="260" t="s">
        <v>940</v>
      </c>
      <c r="J16" s="197"/>
      <c r="K16" s="198"/>
    </row>
    <row r="17" spans="1:9" s="189" customFormat="1" ht="16.5" thickBot="1">
      <c r="A17" s="214">
        <v>245</v>
      </c>
      <c r="B17" s="215" t="s">
        <v>941</v>
      </c>
      <c r="C17" s="194">
        <v>9.85</v>
      </c>
      <c r="D17" s="194">
        <v>14.95</v>
      </c>
      <c r="E17" s="194" t="s">
        <v>934</v>
      </c>
      <c r="F17" s="195" t="s">
        <v>935</v>
      </c>
      <c r="G17" s="196"/>
      <c r="H17" s="193">
        <f>IF(Tabla243[[#This Row],[ UNIDADES]]&lt;5,Tabla243[[#This Row],[PVL]]*Tabla243[[#This Row],[ UNIDADES]],IF(Tabla243[[#This Row],[ UNIDADES]]&lt;12,Tabla243[[#This Row],[PVL]]*Tabla243[[#This Row],[ UNIDADES]]*0.8,Tabla243[[#This Row],[PVL]]*Tabla243[[#This Row],[ UNIDADES]]*0.75))</f>
        <v>0</v>
      </c>
      <c r="I17" s="260" t="s">
        <v>940</v>
      </c>
    </row>
    <row r="18" spans="1:9" s="189" customFormat="1" ht="16.5" thickBot="1">
      <c r="A18" s="214">
        <v>248</v>
      </c>
      <c r="B18" s="215" t="s">
        <v>942</v>
      </c>
      <c r="C18" s="194">
        <v>11.6</v>
      </c>
      <c r="D18" s="194">
        <v>18.239999999999998</v>
      </c>
      <c r="E18" s="194" t="s">
        <v>934</v>
      </c>
      <c r="F18" s="195" t="s">
        <v>935</v>
      </c>
      <c r="G18" s="196"/>
      <c r="H18" s="193">
        <f>IF(Tabla243[[#This Row],[ UNIDADES]]&lt;5,Tabla243[[#This Row],[PVL]]*Tabla243[[#This Row],[ UNIDADES]],IF(Tabla243[[#This Row],[ UNIDADES]]&lt;12,Tabla243[[#This Row],[PVL]]*Tabla243[[#This Row],[ UNIDADES]]*0.8,Tabla243[[#This Row],[PVL]]*Tabla243[[#This Row],[ UNIDADES]]*0.75))</f>
        <v>0</v>
      </c>
      <c r="I18" s="260" t="s">
        <v>940</v>
      </c>
    </row>
    <row r="19" spans="1:9" s="189" customFormat="1" ht="16.5" thickBot="1">
      <c r="A19" s="214">
        <v>254</v>
      </c>
      <c r="B19" s="215" t="s">
        <v>943</v>
      </c>
      <c r="C19" s="194">
        <v>6.23</v>
      </c>
      <c r="D19" s="194">
        <v>9.85</v>
      </c>
      <c r="E19" s="194" t="s">
        <v>934</v>
      </c>
      <c r="F19" s="195" t="s">
        <v>935</v>
      </c>
      <c r="G19" s="196"/>
      <c r="H19" s="193">
        <f>IF(Tabla243[[#This Row],[ UNIDADES]]&lt;5,Tabla243[[#This Row],[PVL]]*Tabla243[[#This Row],[ UNIDADES]],IF(Tabla243[[#This Row],[ UNIDADES]]&lt;12,Tabla243[[#This Row],[PVL]]*Tabla243[[#This Row],[ UNIDADES]]*0.8,Tabla243[[#This Row],[PVL]]*Tabla243[[#This Row],[ UNIDADES]]*0.75))</f>
        <v>0</v>
      </c>
      <c r="I19" s="260" t="s">
        <v>936</v>
      </c>
    </row>
    <row r="20" spans="1:9" s="189" customFormat="1" ht="16.5" thickBot="1">
      <c r="A20" s="214">
        <v>255</v>
      </c>
      <c r="B20" s="215" t="s">
        <v>944</v>
      </c>
      <c r="C20" s="194">
        <v>6.32</v>
      </c>
      <c r="D20" s="194">
        <v>9.9499999999999993</v>
      </c>
      <c r="E20" s="194" t="s">
        <v>934</v>
      </c>
      <c r="F20" s="195" t="s">
        <v>935</v>
      </c>
      <c r="G20" s="196"/>
      <c r="H20" s="193">
        <f>IF(Tabla243[[#This Row],[ UNIDADES]]&lt;5,Tabla243[[#This Row],[PVL]]*Tabla243[[#This Row],[ UNIDADES]],IF(Tabla243[[#This Row],[ UNIDADES]]&lt;12,Tabla243[[#This Row],[PVL]]*Tabla243[[#This Row],[ UNIDADES]]*0.8,Tabla243[[#This Row],[PVL]]*Tabla243[[#This Row],[ UNIDADES]]*0.75))</f>
        <v>0</v>
      </c>
      <c r="I20" s="260" t="s">
        <v>936</v>
      </c>
    </row>
    <row r="21" spans="1:9" s="189" customFormat="1" ht="16.5" thickBot="1">
      <c r="A21" s="214">
        <v>265</v>
      </c>
      <c r="B21" s="215" t="s">
        <v>945</v>
      </c>
      <c r="C21" s="194">
        <v>10.89</v>
      </c>
      <c r="D21" s="194">
        <v>16.899999999999999</v>
      </c>
      <c r="E21" s="194" t="s">
        <v>934</v>
      </c>
      <c r="F21" s="195" t="s">
        <v>935</v>
      </c>
      <c r="G21" s="196"/>
      <c r="H21" s="193">
        <f>IF(Tabla243[[#This Row],[ UNIDADES]]&lt;5,Tabla243[[#This Row],[PVL]]*Tabla243[[#This Row],[ UNIDADES]],IF(Tabla243[[#This Row],[ UNIDADES]]&lt;12,Tabla243[[#This Row],[PVL]]*Tabla243[[#This Row],[ UNIDADES]]*0.8,Tabla243[[#This Row],[PVL]]*Tabla243[[#This Row],[ UNIDADES]]*0.75))</f>
        <v>0</v>
      </c>
      <c r="I21" s="260" t="s">
        <v>936</v>
      </c>
    </row>
    <row r="22" spans="1:9" s="189" customFormat="1" ht="16.5" thickBot="1">
      <c r="A22" s="214">
        <v>315</v>
      </c>
      <c r="B22" s="215" t="s">
        <v>946</v>
      </c>
      <c r="C22" s="194">
        <v>9.51</v>
      </c>
      <c r="D22" s="194">
        <v>14.95</v>
      </c>
      <c r="E22" s="194" t="s">
        <v>934</v>
      </c>
      <c r="F22" s="195" t="s">
        <v>935</v>
      </c>
      <c r="G22" s="196"/>
      <c r="H22" s="193">
        <f>IF(Tabla243[[#This Row],[ UNIDADES]]&lt;5,Tabla243[[#This Row],[PVL]]*Tabla243[[#This Row],[ UNIDADES]],IF(Tabla243[[#This Row],[ UNIDADES]]&lt;12,Tabla243[[#This Row],[PVL]]*Tabla243[[#This Row],[ UNIDADES]]*0.8,Tabla243[[#This Row],[PVL]]*Tabla243[[#This Row],[ UNIDADES]]*0.75))</f>
        <v>0</v>
      </c>
      <c r="I22" s="260" t="s">
        <v>936</v>
      </c>
    </row>
    <row r="23" spans="1:9" s="189" customFormat="1" ht="16.5" thickBot="1">
      <c r="A23" s="214">
        <v>325</v>
      </c>
      <c r="B23" s="215" t="s">
        <v>947</v>
      </c>
      <c r="C23" s="194">
        <v>12.63</v>
      </c>
      <c r="D23" s="194">
        <v>19.899999999999999</v>
      </c>
      <c r="E23" s="194" t="s">
        <v>934</v>
      </c>
      <c r="F23" s="195" t="s">
        <v>935</v>
      </c>
      <c r="G23" s="196"/>
      <c r="H23" s="193">
        <f>IF(Tabla243[[#This Row],[ UNIDADES]]&lt;5,Tabla243[[#This Row],[PVL]]*Tabla243[[#This Row],[ UNIDADES]],IF(Tabla243[[#This Row],[ UNIDADES]]&lt;12,Tabla243[[#This Row],[PVL]]*Tabla243[[#This Row],[ UNIDADES]]*0.8,Tabla243[[#This Row],[PVL]]*Tabla243[[#This Row],[ UNIDADES]]*0.75))</f>
        <v>0</v>
      </c>
      <c r="I23" s="260" t="s">
        <v>940</v>
      </c>
    </row>
    <row r="24" spans="1:9" s="189" customFormat="1" ht="16.5" thickBot="1">
      <c r="A24" s="214">
        <v>354</v>
      </c>
      <c r="B24" s="215" t="s">
        <v>948</v>
      </c>
      <c r="C24" s="194">
        <v>12.63</v>
      </c>
      <c r="D24" s="194">
        <v>19.899999999999999</v>
      </c>
      <c r="E24" s="194" t="s">
        <v>934</v>
      </c>
      <c r="F24" s="195" t="s">
        <v>935</v>
      </c>
      <c r="G24" s="196"/>
      <c r="H24" s="193">
        <f>IF(Tabla243[[#This Row],[ UNIDADES]]&lt;5,Tabla243[[#This Row],[PVL]]*Tabla243[[#This Row],[ UNIDADES]],IF(Tabla243[[#This Row],[ UNIDADES]]&lt;12,Tabla243[[#This Row],[PVL]]*Tabla243[[#This Row],[ UNIDADES]]*0.8,Tabla243[[#This Row],[PVL]]*Tabla243[[#This Row],[ UNIDADES]]*0.75))</f>
        <v>0</v>
      </c>
      <c r="I24" s="260" t="s">
        <v>940</v>
      </c>
    </row>
    <row r="25" spans="1:9" s="189" customFormat="1" ht="16.5" thickBot="1">
      <c r="A25" s="214">
        <v>234</v>
      </c>
      <c r="B25" s="215" t="s">
        <v>949</v>
      </c>
      <c r="C25" s="194">
        <v>6.48</v>
      </c>
      <c r="D25" s="194">
        <v>9.5</v>
      </c>
      <c r="E25" s="194" t="s">
        <v>934</v>
      </c>
      <c r="F25" s="195" t="s">
        <v>935</v>
      </c>
      <c r="G25" s="196"/>
      <c r="H25" s="193">
        <f>IF(Tabla243[[#This Row],[ UNIDADES]]&lt;5,Tabla243[[#This Row],[PVL]]*Tabla243[[#This Row],[ UNIDADES]],IF(Tabla243[[#This Row],[ UNIDADES]]&lt;12,Tabla243[[#This Row],[PVL]]*Tabla243[[#This Row],[ UNIDADES]]*0.8,Tabla243[[#This Row],[PVL]]*Tabla243[[#This Row],[ UNIDADES]]*0.75))</f>
        <v>0</v>
      </c>
      <c r="I25" s="260" t="s">
        <v>940</v>
      </c>
    </row>
    <row r="26" spans="1:9" s="189" customFormat="1" ht="16.5" thickBot="1">
      <c r="A26" s="214">
        <v>361</v>
      </c>
      <c r="B26" s="215" t="s">
        <v>950</v>
      </c>
      <c r="C26" s="194">
        <v>10.18</v>
      </c>
      <c r="D26" s="194">
        <v>15.99</v>
      </c>
      <c r="E26" s="194" t="s">
        <v>934</v>
      </c>
      <c r="F26" s="200"/>
      <c r="G26" s="196"/>
      <c r="H26" s="193">
        <f>IF(Tabla243[[#This Row],[ UNIDADES]]&lt;5,Tabla243[[#This Row],[PVL]]*Tabla243[[#This Row],[ UNIDADES]],Tabla243[[#This Row],[PVL]]*Tabla243[[#This Row],[ UNIDADES]]*0.8)</f>
        <v>0</v>
      </c>
      <c r="I26" s="260" t="s">
        <v>936</v>
      </c>
    </row>
    <row r="27" spans="1:9" s="189" customFormat="1" ht="16.5" thickBot="1">
      <c r="A27" s="214">
        <v>362</v>
      </c>
      <c r="B27" s="215" t="s">
        <v>951</v>
      </c>
      <c r="C27" s="194">
        <v>8.14</v>
      </c>
      <c r="D27" s="194">
        <v>12.85</v>
      </c>
      <c r="E27" s="194" t="s">
        <v>934</v>
      </c>
      <c r="F27" s="200"/>
      <c r="G27" s="196"/>
      <c r="H27" s="193">
        <f>IF(Tabla243[[#This Row],[ UNIDADES]]&lt;5,Tabla243[[#This Row],[PVL]]*Tabla243[[#This Row],[ UNIDADES]],Tabla243[[#This Row],[PVL]]*Tabla243[[#This Row],[ UNIDADES]]*0.8)</f>
        <v>0</v>
      </c>
      <c r="I27" s="260" t="s">
        <v>940</v>
      </c>
    </row>
    <row r="28" spans="1:9" s="189" customFormat="1" ht="16.5" thickBot="1">
      <c r="A28" s="218">
        <v>389</v>
      </c>
      <c r="B28" s="219" t="s">
        <v>952</v>
      </c>
      <c r="C28" s="201">
        <v>12.67</v>
      </c>
      <c r="D28" s="201">
        <v>19.899999999999999</v>
      </c>
      <c r="E28" s="194" t="s">
        <v>934</v>
      </c>
      <c r="F28" s="195" t="s">
        <v>935</v>
      </c>
      <c r="G28" s="196"/>
      <c r="H28" s="193">
        <f>IF(Tabla243[[#This Row],[ UNIDADES]]&lt;5,Tabla243[[#This Row],[PVL]]*Tabla243[[#This Row],[ UNIDADES]],IF(Tabla243[[#This Row],[ UNIDADES]]&lt;12,Tabla243[[#This Row],[PVL]]*Tabla243[[#This Row],[ UNIDADES]]*0.8,Tabla243[[#This Row],[PVL]]*Tabla243[[#This Row],[ UNIDADES]]*0.75))</f>
        <v>0</v>
      </c>
      <c r="I28" s="261" t="s">
        <v>938</v>
      </c>
    </row>
    <row r="29" spans="1:9" s="189" customFormat="1" ht="16.5" thickBot="1">
      <c r="A29" s="214">
        <v>394</v>
      </c>
      <c r="B29" s="215" t="s">
        <v>953</v>
      </c>
      <c r="C29" s="194">
        <v>18.7</v>
      </c>
      <c r="D29" s="194">
        <v>29.4</v>
      </c>
      <c r="E29" s="194" t="s">
        <v>934</v>
      </c>
      <c r="F29" s="195" t="s">
        <v>935</v>
      </c>
      <c r="G29" s="196"/>
      <c r="H29" s="193">
        <f>IF(Tabla243[[#This Row],[ UNIDADES]]&lt;5,Tabla243[[#This Row],[PVL]]*Tabla243[[#This Row],[ UNIDADES]],IF(Tabla243[[#This Row],[ UNIDADES]]&lt;12,Tabla243[[#This Row],[PVL]]*Tabla243[[#This Row],[ UNIDADES]]*0.8,Tabla243[[#This Row],[PVL]]*Tabla243[[#This Row],[ UNIDADES]]*0.75))</f>
        <v>0</v>
      </c>
      <c r="I29" s="260" t="s">
        <v>938</v>
      </c>
    </row>
    <row r="30" spans="1:9" s="189" customFormat="1" ht="16.5" thickBot="1">
      <c r="A30" s="256">
        <v>413</v>
      </c>
      <c r="B30" s="254" t="s">
        <v>954</v>
      </c>
      <c r="C30" s="202">
        <v>12</v>
      </c>
      <c r="D30" s="202">
        <v>18.86</v>
      </c>
      <c r="E30" s="203" t="s">
        <v>934</v>
      </c>
      <c r="F30" s="204" t="s">
        <v>935</v>
      </c>
      <c r="G30" s="196"/>
      <c r="H30" s="193">
        <f>IF(Tabla243[[#This Row],[ UNIDADES]]&lt;5,Tabla243[[#This Row],[PVL]]*Tabla243[[#This Row],[ UNIDADES]],IF(Tabla243[[#This Row],[ UNIDADES]]&lt;12,Tabla243[[#This Row],[PVL]]*Tabla243[[#This Row],[ UNIDADES]]*0.8,Tabla243[[#This Row],[PVL]]*Tabla243[[#This Row],[ UNIDADES]]*0.75))</f>
        <v>0</v>
      </c>
      <c r="I30" s="262" t="s">
        <v>936</v>
      </c>
    </row>
    <row r="31" spans="1:9" s="189" customFormat="1" ht="19.5" thickBot="1">
      <c r="A31" s="205"/>
      <c r="B31" s="206" t="s">
        <v>955</v>
      </c>
      <c r="C31" s="207"/>
      <c r="D31" s="207"/>
      <c r="E31" s="207"/>
      <c r="F31" s="207"/>
      <c r="G31" s="196"/>
      <c r="H31" s="267"/>
      <c r="I31" s="208"/>
    </row>
    <row r="32" spans="1:9" s="189" customFormat="1" ht="16.5" thickBot="1">
      <c r="A32" s="209">
        <v>422</v>
      </c>
      <c r="B32" s="210" t="s">
        <v>956</v>
      </c>
      <c r="C32" s="211">
        <v>13.63</v>
      </c>
      <c r="D32" s="212">
        <v>24.98</v>
      </c>
      <c r="E32" s="213" t="s">
        <v>934</v>
      </c>
      <c r="F32" s="190" t="s">
        <v>935</v>
      </c>
      <c r="G32" s="196"/>
      <c r="H32" s="257">
        <f>IF(Tabla243[[#This Row],[ UNIDADES]]&lt;5,Tabla243[[#This Row],[PVL]]*Tabla243[[#This Row],[ UNIDADES]],IF(Tabla243[[#This Row],[ UNIDADES]]&lt;12,Tabla243[[#This Row],[PVL]]*Tabla243[[#This Row],[ UNIDADES]]*0.8,Tabla243[[#This Row],[PVL]]*Tabla243[[#This Row],[ UNIDADES]]*0.75))</f>
        <v>0</v>
      </c>
      <c r="I32" s="263" t="s">
        <v>957</v>
      </c>
    </row>
    <row r="33" spans="1:9" s="189" customFormat="1" ht="16.5" thickBot="1">
      <c r="A33" s="214">
        <v>393</v>
      </c>
      <c r="B33" s="215" t="s">
        <v>958</v>
      </c>
      <c r="C33" s="194">
        <v>6.32</v>
      </c>
      <c r="D33" s="216">
        <v>9.93</v>
      </c>
      <c r="E33" s="194" t="s">
        <v>934</v>
      </c>
      <c r="F33" s="194" t="s">
        <v>935</v>
      </c>
      <c r="G33" s="196"/>
      <c r="H33" s="193">
        <f>IF(Tabla243[[#This Row],[ UNIDADES]]&lt;5,Tabla243[[#This Row],[PVL]]*Tabla243[[#This Row],[ UNIDADES]],IF(Tabla243[[#This Row],[ UNIDADES]]&lt;12,Tabla243[[#This Row],[PVL]]*Tabla243[[#This Row],[ UNIDADES]]*0.8,Tabla243[[#This Row],[PVL]]*Tabla243[[#This Row],[ UNIDADES]]*0.75))</f>
        <v>0</v>
      </c>
      <c r="I33" s="260" t="s">
        <v>959</v>
      </c>
    </row>
    <row r="34" spans="1:9" s="189" customFormat="1" ht="16.5" thickBot="1">
      <c r="A34" s="214">
        <v>186</v>
      </c>
      <c r="B34" s="215" t="s">
        <v>960</v>
      </c>
      <c r="C34" s="194">
        <v>6.27</v>
      </c>
      <c r="D34" s="216">
        <v>9.85</v>
      </c>
      <c r="E34" s="194" t="s">
        <v>934</v>
      </c>
      <c r="F34" s="194" t="s">
        <v>935</v>
      </c>
      <c r="G34" s="196"/>
      <c r="H34" s="193">
        <f>IF(Tabla243[[#This Row],[ UNIDADES]]&lt;5,Tabla243[[#This Row],[PVL]]*Tabla243[[#This Row],[ UNIDADES]],IF(Tabla243[[#This Row],[ UNIDADES]]&lt;12,Tabla243[[#This Row],[PVL]]*Tabla243[[#This Row],[ UNIDADES]]*0.8,Tabla243[[#This Row],[PVL]]*Tabla243[[#This Row],[ UNIDADES]]*0.75))</f>
        <v>0</v>
      </c>
      <c r="I34" s="260" t="s">
        <v>957</v>
      </c>
    </row>
    <row r="35" spans="1:9" s="189" customFormat="1" ht="16.5" thickBot="1">
      <c r="A35" s="214">
        <v>401</v>
      </c>
      <c r="B35" s="215" t="s">
        <v>961</v>
      </c>
      <c r="C35" s="194">
        <v>15.62</v>
      </c>
      <c r="D35" s="216">
        <v>24.54</v>
      </c>
      <c r="E35" s="194" t="s">
        <v>934</v>
      </c>
      <c r="F35" s="194" t="s">
        <v>935</v>
      </c>
      <c r="G35" s="196"/>
      <c r="H35" s="193">
        <f>IF(Tabla243[[#This Row],[ UNIDADES]]&lt;5,Tabla243[[#This Row],[PVL]]*Tabla243[[#This Row],[ UNIDADES]],IF(Tabla243[[#This Row],[ UNIDADES]]&lt;12,Tabla243[[#This Row],[PVL]]*Tabla243[[#This Row],[ UNIDADES]]*0.8,Tabla243[[#This Row],[PVL]]*Tabla243[[#This Row],[ UNIDADES]]*0.75))</f>
        <v>0</v>
      </c>
      <c r="I35" s="260" t="s">
        <v>959</v>
      </c>
    </row>
    <row r="36" spans="1:9" s="189" customFormat="1" ht="16.5" thickBot="1">
      <c r="A36" s="214">
        <v>215</v>
      </c>
      <c r="B36" s="215" t="s">
        <v>962</v>
      </c>
      <c r="C36" s="194">
        <v>12.67</v>
      </c>
      <c r="D36" s="216">
        <v>19.899999999999999</v>
      </c>
      <c r="E36" s="194" t="s">
        <v>963</v>
      </c>
      <c r="F36" s="217"/>
      <c r="G36" s="196"/>
      <c r="H36" s="193">
        <f>IF(Tabla243[[#This Row],[ UNIDADES]]&lt;12,Tabla243[[#This Row],[PVL]]*Tabla243[[#This Row],[ UNIDADES]],Tabla243[[#This Row],[PVL]]*Tabla243[[#This Row],[ UNIDADES]]*0.9167)</f>
        <v>0</v>
      </c>
      <c r="I36" s="260" t="s">
        <v>964</v>
      </c>
    </row>
    <row r="37" spans="1:9" s="189" customFormat="1" ht="16.5" thickBot="1">
      <c r="A37" s="214">
        <v>200</v>
      </c>
      <c r="B37" s="215" t="s">
        <v>965</v>
      </c>
      <c r="C37" s="194">
        <v>12.29</v>
      </c>
      <c r="D37" s="216">
        <v>19.45</v>
      </c>
      <c r="E37" s="194" t="s">
        <v>934</v>
      </c>
      <c r="F37" s="194" t="s">
        <v>935</v>
      </c>
      <c r="G37" s="196"/>
      <c r="H37" s="193">
        <f>IF(Tabla243[[#This Row],[ UNIDADES]]&lt;5,Tabla243[[#This Row],[PVL]]*Tabla243[[#This Row],[ UNIDADES]],IF(Tabla243[[#This Row],[ UNIDADES]]&lt;12,Tabla243[[#This Row],[PVL]]*Tabla243[[#This Row],[ UNIDADES]]*0.8,Tabla243[[#This Row],[PVL]]*Tabla243[[#This Row],[ UNIDADES]]*0.75))</f>
        <v>0</v>
      </c>
      <c r="I37" s="260" t="s">
        <v>966</v>
      </c>
    </row>
    <row r="38" spans="1:9" s="189" customFormat="1" ht="16.5" thickBot="1">
      <c r="A38" s="214">
        <v>201</v>
      </c>
      <c r="B38" s="215" t="s">
        <v>967</v>
      </c>
      <c r="C38" s="194">
        <v>8.33</v>
      </c>
      <c r="D38" s="216">
        <v>13.1</v>
      </c>
      <c r="E38" s="194" t="s">
        <v>934</v>
      </c>
      <c r="F38" s="194" t="s">
        <v>935</v>
      </c>
      <c r="G38" s="196"/>
      <c r="H38" s="193">
        <f>IF(Tabla243[[#This Row],[ UNIDADES]]&lt;5,Tabla243[[#This Row],[PVL]]*Tabla243[[#This Row],[ UNIDADES]],IF(Tabla243[[#This Row],[ UNIDADES]]&lt;12,Tabla243[[#This Row],[PVL]]*Tabla243[[#This Row],[ UNIDADES]]*0.8,Tabla243[[#This Row],[PVL]]*Tabla243[[#This Row],[ UNIDADES]]*0.75))</f>
        <v>0</v>
      </c>
      <c r="I38" s="260" t="s">
        <v>968</v>
      </c>
    </row>
    <row r="39" spans="1:9" s="189" customFormat="1" ht="16.5" thickBot="1">
      <c r="A39" s="214">
        <v>202</v>
      </c>
      <c r="B39" s="215" t="s">
        <v>969</v>
      </c>
      <c r="C39" s="194">
        <v>15.9</v>
      </c>
      <c r="D39" s="216">
        <v>24.95</v>
      </c>
      <c r="E39" s="194" t="s">
        <v>934</v>
      </c>
      <c r="F39" s="194" t="s">
        <v>935</v>
      </c>
      <c r="G39" s="196"/>
      <c r="H39" s="193">
        <f>IF(Tabla243[[#This Row],[ UNIDADES]]&lt;5,Tabla243[[#This Row],[PVL]]*Tabla243[[#This Row],[ UNIDADES]],IF(Tabla243[[#This Row],[ UNIDADES]]&lt;12,Tabla243[[#This Row],[PVL]]*Tabla243[[#This Row],[ UNIDADES]]*0.8,Tabla243[[#This Row],[PVL]]*Tabla243[[#This Row],[ UNIDADES]]*0.75))</f>
        <v>0</v>
      </c>
      <c r="I39" s="260" t="s">
        <v>959</v>
      </c>
    </row>
    <row r="40" spans="1:9" s="189" customFormat="1" ht="16.5" thickBot="1">
      <c r="A40" s="214">
        <v>203</v>
      </c>
      <c r="B40" s="215" t="s">
        <v>970</v>
      </c>
      <c r="C40" s="194">
        <v>12.6</v>
      </c>
      <c r="D40" s="216">
        <v>19.850000000000001</v>
      </c>
      <c r="E40" s="194" t="s">
        <v>934</v>
      </c>
      <c r="F40" s="194" t="s">
        <v>935</v>
      </c>
      <c r="G40" s="196"/>
      <c r="H40" s="193">
        <f>IF(Tabla243[[#This Row],[ UNIDADES]]&lt;5,Tabla243[[#This Row],[PVL]]*Tabla243[[#This Row],[ UNIDADES]],IF(Tabla243[[#This Row],[ UNIDADES]]&lt;12,Tabla243[[#This Row],[PVL]]*Tabla243[[#This Row],[ UNIDADES]]*0.8,Tabla243[[#This Row],[PVL]]*Tabla243[[#This Row],[ UNIDADES]]*0.75))</f>
        <v>0</v>
      </c>
      <c r="I40" s="260" t="s">
        <v>971</v>
      </c>
    </row>
    <row r="41" spans="1:9" s="189" customFormat="1" ht="16.5" thickBot="1">
      <c r="A41" s="214">
        <v>204</v>
      </c>
      <c r="B41" s="215" t="s">
        <v>972</v>
      </c>
      <c r="C41" s="194">
        <v>12.7</v>
      </c>
      <c r="D41" s="216">
        <v>19.95</v>
      </c>
      <c r="E41" s="194" t="s">
        <v>934</v>
      </c>
      <c r="F41" s="194" t="s">
        <v>935</v>
      </c>
      <c r="G41" s="196"/>
      <c r="H41" s="193">
        <f>IF(Tabla243[[#This Row],[ UNIDADES]]&lt;5,Tabla243[[#This Row],[PVL]]*Tabla243[[#This Row],[ UNIDADES]],IF(Tabla243[[#This Row],[ UNIDADES]]&lt;12,Tabla243[[#This Row],[PVL]]*Tabla243[[#This Row],[ UNIDADES]]*0.8,Tabla243[[#This Row],[PVL]]*Tabla243[[#This Row],[ UNIDADES]]*0.75))</f>
        <v>0</v>
      </c>
      <c r="I41" s="260" t="s">
        <v>966</v>
      </c>
    </row>
    <row r="42" spans="1:9" s="189" customFormat="1" ht="16.5" thickBot="1">
      <c r="A42" s="214">
        <v>205</v>
      </c>
      <c r="B42" s="215" t="s">
        <v>973</v>
      </c>
      <c r="C42" s="194">
        <v>12.72</v>
      </c>
      <c r="D42" s="216">
        <v>19.989999999999998</v>
      </c>
      <c r="E42" s="194" t="s">
        <v>934</v>
      </c>
      <c r="F42" s="194" t="s">
        <v>935</v>
      </c>
      <c r="G42" s="196"/>
      <c r="H42" s="193">
        <f>IF(Tabla243[[#This Row],[ UNIDADES]]&lt;5,Tabla243[[#This Row],[PVL]]*Tabla243[[#This Row],[ UNIDADES]],IF(Tabla243[[#This Row],[ UNIDADES]]&lt;12,Tabla243[[#This Row],[PVL]]*Tabla243[[#This Row],[ UNIDADES]]*0.8,Tabla243[[#This Row],[PVL]]*Tabla243[[#This Row],[ UNIDADES]]*0.75))</f>
        <v>0</v>
      </c>
      <c r="I42" s="260" t="s">
        <v>966</v>
      </c>
    </row>
    <row r="43" spans="1:9" s="189" customFormat="1" ht="16.5" thickBot="1">
      <c r="A43" s="214">
        <v>207</v>
      </c>
      <c r="B43" s="215" t="s">
        <v>974</v>
      </c>
      <c r="C43" s="194">
        <v>13.05</v>
      </c>
      <c r="D43" s="216">
        <v>18.649999999999999</v>
      </c>
      <c r="E43" s="194" t="s">
        <v>934</v>
      </c>
      <c r="F43" s="194" t="s">
        <v>935</v>
      </c>
      <c r="G43" s="196"/>
      <c r="H43" s="193">
        <f>IF(Tabla243[[#This Row],[ UNIDADES]]&lt;5,Tabla243[[#This Row],[PVL]]*Tabla243[[#This Row],[ UNIDADES]],IF(Tabla243[[#This Row],[ UNIDADES]]&lt;12,Tabla243[[#This Row],[PVL]]*Tabla243[[#This Row],[ UNIDADES]]*0.8,Tabla243[[#This Row],[PVL]]*Tabla243[[#This Row],[ UNIDADES]]*0.75))</f>
        <v>0</v>
      </c>
      <c r="I43" s="260" t="s">
        <v>971</v>
      </c>
    </row>
    <row r="44" spans="1:9" s="189" customFormat="1" ht="16.5" thickBot="1">
      <c r="A44" s="214">
        <v>211</v>
      </c>
      <c r="B44" s="215" t="s">
        <v>975</v>
      </c>
      <c r="C44" s="194">
        <v>15.82</v>
      </c>
      <c r="D44" s="216">
        <v>24.85</v>
      </c>
      <c r="E44" s="194" t="s">
        <v>934</v>
      </c>
      <c r="F44" s="194" t="s">
        <v>935</v>
      </c>
      <c r="G44" s="196"/>
      <c r="H44" s="193">
        <f>IF(Tabla243[[#This Row],[ UNIDADES]]&lt;5,Tabla243[[#This Row],[PVL]]*Tabla243[[#This Row],[ UNIDADES]],IF(Tabla243[[#This Row],[ UNIDADES]]&lt;12,Tabla243[[#This Row],[PVL]]*Tabla243[[#This Row],[ UNIDADES]]*0.8,Tabla243[[#This Row],[PVL]]*Tabla243[[#This Row],[ UNIDADES]]*0.75))</f>
        <v>0</v>
      </c>
      <c r="I44" s="260" t="s">
        <v>976</v>
      </c>
    </row>
    <row r="45" spans="1:9" s="189" customFormat="1" ht="17.25" customHeight="1" thickBot="1">
      <c r="A45" s="214">
        <v>212</v>
      </c>
      <c r="B45" s="215" t="s">
        <v>977</v>
      </c>
      <c r="C45" s="194">
        <v>7.86</v>
      </c>
      <c r="D45" s="216">
        <v>12.35</v>
      </c>
      <c r="E45" s="194" t="s">
        <v>934</v>
      </c>
      <c r="F45" s="194" t="s">
        <v>935</v>
      </c>
      <c r="G45" s="196"/>
      <c r="H45" s="193">
        <f>IF(Tabla243[[#This Row],[ UNIDADES]]&lt;5,Tabla243[[#This Row],[PVL]]*Tabla243[[#This Row],[ UNIDADES]],IF(Tabla243[[#This Row],[ UNIDADES]]&lt;12,Tabla243[[#This Row],[PVL]]*Tabla243[[#This Row],[ UNIDADES]]*0.8,Tabla243[[#This Row],[PVL]]*Tabla243[[#This Row],[ UNIDADES]]*0.75))</f>
        <v>0</v>
      </c>
      <c r="I45" s="260" t="s">
        <v>978</v>
      </c>
    </row>
    <row r="46" spans="1:9" s="189" customFormat="1" ht="16.5" thickBot="1">
      <c r="A46" s="214">
        <v>213</v>
      </c>
      <c r="B46" s="215" t="s">
        <v>979</v>
      </c>
      <c r="C46" s="194">
        <v>9.8000000000000007</v>
      </c>
      <c r="D46" s="216">
        <v>15.4</v>
      </c>
      <c r="E46" s="194" t="s">
        <v>963</v>
      </c>
      <c r="F46" s="217"/>
      <c r="G46" s="196"/>
      <c r="H46" s="193">
        <f>IF(Tabla243[[#This Row],[ UNIDADES]]&lt;12,Tabla243[[#This Row],[PVL]]*Tabla243[[#This Row],[ UNIDADES]],Tabla243[[#This Row],[PVL]]*Tabla243[[#This Row],[ UNIDADES]]*0.9167)</f>
        <v>0</v>
      </c>
      <c r="I46" s="260" t="s">
        <v>964</v>
      </c>
    </row>
    <row r="47" spans="1:9" s="189" customFormat="1" ht="16.5" thickBot="1">
      <c r="A47" s="214">
        <v>214</v>
      </c>
      <c r="B47" s="215" t="s">
        <v>980</v>
      </c>
      <c r="C47" s="194">
        <v>10.76</v>
      </c>
      <c r="D47" s="216">
        <v>16.899999999999999</v>
      </c>
      <c r="E47" s="194" t="s">
        <v>934</v>
      </c>
      <c r="F47" s="194" t="s">
        <v>935</v>
      </c>
      <c r="G47" s="196"/>
      <c r="H47" s="193">
        <f>IF(Tabla243[[#This Row],[ UNIDADES]]&lt;5,Tabla243[[#This Row],[PVL]]*Tabla243[[#This Row],[ UNIDADES]],IF(Tabla243[[#This Row],[ UNIDADES]]&lt;12,Tabla243[[#This Row],[PVL]]*Tabla243[[#This Row],[ UNIDADES]]*0.8,Tabla243[[#This Row],[PVL]]*Tabla243[[#This Row],[ UNIDADES]]*0.75))</f>
        <v>0</v>
      </c>
      <c r="I47" s="260" t="s">
        <v>976</v>
      </c>
    </row>
    <row r="48" spans="1:9" s="189" customFormat="1" ht="16.5" thickBot="1">
      <c r="A48" s="214">
        <v>220</v>
      </c>
      <c r="B48" s="215" t="s">
        <v>981</v>
      </c>
      <c r="C48" s="194">
        <v>18.059999999999999</v>
      </c>
      <c r="D48" s="216">
        <v>28.37</v>
      </c>
      <c r="E48" s="194" t="s">
        <v>934</v>
      </c>
      <c r="F48" s="194" t="s">
        <v>935</v>
      </c>
      <c r="G48" s="196"/>
      <c r="H48" s="193">
        <f>IF(Tabla243[[#This Row],[ UNIDADES]]&lt;5,Tabla243[[#This Row],[PVL]]*Tabla243[[#This Row],[ UNIDADES]],IF(Tabla243[[#This Row],[ UNIDADES]]&lt;12,Tabla243[[#This Row],[PVL]]*Tabla243[[#This Row],[ UNIDADES]]*0.8,Tabla243[[#This Row],[PVL]]*Tabla243[[#This Row],[ UNIDADES]]*0.75))</f>
        <v>0</v>
      </c>
      <c r="I48" s="260" t="s">
        <v>976</v>
      </c>
    </row>
    <row r="49" spans="1:9" s="189" customFormat="1" ht="16.5" thickBot="1">
      <c r="A49" s="214">
        <v>230</v>
      </c>
      <c r="B49" s="215" t="s">
        <v>982</v>
      </c>
      <c r="C49" s="194">
        <v>16.170000000000002</v>
      </c>
      <c r="D49" s="216">
        <v>25.4</v>
      </c>
      <c r="E49" s="194" t="s">
        <v>934</v>
      </c>
      <c r="F49" s="194" t="s">
        <v>935</v>
      </c>
      <c r="G49" s="196"/>
      <c r="H49" s="193">
        <f>IF(Tabla243[[#This Row],[ UNIDADES]]&lt;5,Tabla243[[#This Row],[PVL]]*Tabla243[[#This Row],[ UNIDADES]],IF(Tabla243[[#This Row],[ UNIDADES]]&lt;12,Tabla243[[#This Row],[PVL]]*Tabla243[[#This Row],[ UNIDADES]]*0.8,Tabla243[[#This Row],[PVL]]*Tabla243[[#This Row],[ UNIDADES]]*0.75))</f>
        <v>0</v>
      </c>
      <c r="I49" s="260" t="s">
        <v>983</v>
      </c>
    </row>
    <row r="50" spans="1:9" s="189" customFormat="1" ht="16.5" thickBot="1">
      <c r="A50" s="214">
        <v>400</v>
      </c>
      <c r="B50" s="215" t="s">
        <v>984</v>
      </c>
      <c r="C50" s="194">
        <v>9.82</v>
      </c>
      <c r="D50" s="216">
        <v>15.43</v>
      </c>
      <c r="E50" s="194" t="s">
        <v>934</v>
      </c>
      <c r="F50" s="194" t="s">
        <v>935</v>
      </c>
      <c r="G50" s="196"/>
      <c r="H50" s="193">
        <f>IF(Tabla243[[#This Row],[ UNIDADES]]&lt;5,Tabla243[[#This Row],[PVL]]*Tabla243[[#This Row],[ UNIDADES]],IF(Tabla243[[#This Row],[ UNIDADES]]&lt;12,Tabla243[[#This Row],[PVL]]*Tabla243[[#This Row],[ UNIDADES]]*0.8,Tabla243[[#This Row],[PVL]]*Tabla243[[#This Row],[ UNIDADES]]*0.75))</f>
        <v>0</v>
      </c>
      <c r="I50" s="260" t="s">
        <v>971</v>
      </c>
    </row>
    <row r="51" spans="1:9" s="189" customFormat="1" ht="15.75" customHeight="1" thickBot="1">
      <c r="A51" s="214">
        <v>233</v>
      </c>
      <c r="B51" s="215" t="s">
        <v>985</v>
      </c>
      <c r="C51" s="194">
        <v>7.75</v>
      </c>
      <c r="D51" s="216">
        <v>12.177</v>
      </c>
      <c r="E51" s="194" t="s">
        <v>934</v>
      </c>
      <c r="F51" s="194" t="s">
        <v>935</v>
      </c>
      <c r="G51" s="196"/>
      <c r="H51" s="193">
        <f>IF(Tabla243[[#This Row],[ UNIDADES]]&lt;5,Tabla243[[#This Row],[PVL]]*Tabla243[[#This Row],[ UNIDADES]],IF(Tabla243[[#This Row],[ UNIDADES]]&lt;12,Tabla243[[#This Row],[PVL]]*Tabla243[[#This Row],[ UNIDADES]]*0.8,Tabla243[[#This Row],[PVL]]*Tabla243[[#This Row],[ UNIDADES]]*0.75))</f>
        <v>0</v>
      </c>
      <c r="I51" s="260" t="s">
        <v>959</v>
      </c>
    </row>
    <row r="52" spans="1:9" s="189" customFormat="1" ht="16.5" thickBot="1">
      <c r="A52" s="214">
        <v>239</v>
      </c>
      <c r="B52" s="215" t="s">
        <v>986</v>
      </c>
      <c r="C52" s="194">
        <v>9.1999999999999993</v>
      </c>
      <c r="D52" s="216">
        <v>14.45</v>
      </c>
      <c r="E52" s="194" t="s">
        <v>934</v>
      </c>
      <c r="F52" s="194" t="s">
        <v>935</v>
      </c>
      <c r="G52" s="196"/>
      <c r="H52" s="193">
        <f>IF(Tabla243[[#This Row],[ UNIDADES]]&lt;5,Tabla243[[#This Row],[PVL]]*Tabla243[[#This Row],[ UNIDADES]],IF(Tabla243[[#This Row],[ UNIDADES]]&lt;12,Tabla243[[#This Row],[PVL]]*Tabla243[[#This Row],[ UNIDADES]]*0.8,Tabla243[[#This Row],[PVL]]*Tabla243[[#This Row],[ UNIDADES]]*0.75))</f>
        <v>0</v>
      </c>
      <c r="I52" s="260" t="s">
        <v>959</v>
      </c>
    </row>
    <row r="53" spans="1:9" s="189" customFormat="1" ht="16.5" thickBot="1">
      <c r="A53" s="214">
        <v>244</v>
      </c>
      <c r="B53" s="215" t="s">
        <v>987</v>
      </c>
      <c r="C53" s="194">
        <v>11.74</v>
      </c>
      <c r="D53" s="216">
        <v>18.45</v>
      </c>
      <c r="E53" s="194" t="s">
        <v>934</v>
      </c>
      <c r="F53" s="194" t="s">
        <v>935</v>
      </c>
      <c r="G53" s="196"/>
      <c r="H53" s="193">
        <f>IF(Tabla243[[#This Row],[ UNIDADES]]&lt;5,Tabla243[[#This Row],[PVL]]*Tabla243[[#This Row],[ UNIDADES]],IF(Tabla243[[#This Row],[ UNIDADES]]&lt;12,Tabla243[[#This Row],[PVL]]*Tabla243[[#This Row],[ UNIDADES]]*0.8,Tabla243[[#This Row],[PVL]]*Tabla243[[#This Row],[ UNIDADES]]*0.75))</f>
        <v>0</v>
      </c>
      <c r="I53" s="260" t="s">
        <v>957</v>
      </c>
    </row>
    <row r="54" spans="1:9" s="189" customFormat="1" ht="16.5" thickBot="1">
      <c r="A54" s="214">
        <v>257</v>
      </c>
      <c r="B54" s="215" t="s">
        <v>988</v>
      </c>
      <c r="C54" s="194">
        <v>7.34</v>
      </c>
      <c r="D54" s="216">
        <v>11.55</v>
      </c>
      <c r="E54" s="194" t="s">
        <v>934</v>
      </c>
      <c r="F54" s="194" t="s">
        <v>935</v>
      </c>
      <c r="G54" s="196"/>
      <c r="H54" s="193">
        <f>IF(Tabla243[[#This Row],[ UNIDADES]]&lt;5,Tabla243[[#This Row],[PVL]]*Tabla243[[#This Row],[ UNIDADES]],IF(Tabla243[[#This Row],[ UNIDADES]]&lt;12,Tabla243[[#This Row],[PVL]]*Tabla243[[#This Row],[ UNIDADES]]*0.8,Tabla243[[#This Row],[PVL]]*Tabla243[[#This Row],[ UNIDADES]]*0.75))</f>
        <v>0</v>
      </c>
      <c r="I54" s="260" t="s">
        <v>978</v>
      </c>
    </row>
    <row r="55" spans="1:9" s="189" customFormat="1" ht="17.25" customHeight="1" thickBot="1">
      <c r="A55" s="214">
        <v>259</v>
      </c>
      <c r="B55" s="215" t="s">
        <v>989</v>
      </c>
      <c r="C55" s="194">
        <v>31.15</v>
      </c>
      <c r="D55" s="216">
        <v>48.95</v>
      </c>
      <c r="E55" s="194" t="s">
        <v>934</v>
      </c>
      <c r="F55" s="194" t="s">
        <v>935</v>
      </c>
      <c r="G55" s="196"/>
      <c r="H55" s="193">
        <f>IF(Tabla243[[#This Row],[ UNIDADES]]&lt;5,Tabla243[[#This Row],[PVL]]*Tabla243[[#This Row],[ UNIDADES]],IF(Tabla243[[#This Row],[ UNIDADES]]&lt;12,Tabla243[[#This Row],[PVL]]*Tabla243[[#This Row],[ UNIDADES]]*0.8,Tabla243[[#This Row],[PVL]]*Tabla243[[#This Row],[ UNIDADES]]*0.75))</f>
        <v>0</v>
      </c>
      <c r="I55" s="260" t="s">
        <v>978</v>
      </c>
    </row>
    <row r="56" spans="1:9" s="189" customFormat="1" ht="16.5" thickBot="1">
      <c r="A56" s="214">
        <v>290</v>
      </c>
      <c r="B56" s="215" t="s">
        <v>990</v>
      </c>
      <c r="C56" s="194">
        <v>13.03</v>
      </c>
      <c r="D56" s="216">
        <v>19.899999999999999</v>
      </c>
      <c r="E56" s="194" t="s">
        <v>934</v>
      </c>
      <c r="F56" s="194" t="s">
        <v>935</v>
      </c>
      <c r="G56" s="196"/>
      <c r="H56" s="193">
        <f>IF(Tabla243[[#This Row],[ UNIDADES]]&lt;5,Tabla243[[#This Row],[PVL]]*Tabla243[[#This Row],[ UNIDADES]],IF(Tabla243[[#This Row],[ UNIDADES]]&lt;12,Tabla243[[#This Row],[PVL]]*Tabla243[[#This Row],[ UNIDADES]]*0.8,Tabla243[[#This Row],[PVL]]*Tabla243[[#This Row],[ UNIDADES]]*0.75))</f>
        <v>0</v>
      </c>
      <c r="I56" s="260" t="s">
        <v>991</v>
      </c>
    </row>
    <row r="57" spans="1:9" s="189" customFormat="1" ht="16.5" thickBot="1">
      <c r="A57" s="214">
        <v>310</v>
      </c>
      <c r="B57" s="215" t="s">
        <v>992</v>
      </c>
      <c r="C57" s="194">
        <v>11.24</v>
      </c>
      <c r="D57" s="216">
        <v>16.489999999999998</v>
      </c>
      <c r="E57" s="194" t="s">
        <v>934</v>
      </c>
      <c r="F57" s="194" t="s">
        <v>935</v>
      </c>
      <c r="G57" s="196"/>
      <c r="H57" s="193">
        <f>IF(Tabla243[[#This Row],[ UNIDADES]]&lt;5,Tabla243[[#This Row],[PVL]]*Tabla243[[#This Row],[ UNIDADES]],IF(Tabla243[[#This Row],[ UNIDADES]]&lt;12,Tabla243[[#This Row],[PVL]]*Tabla243[[#This Row],[ UNIDADES]]*0.8,Tabla243[[#This Row],[PVL]]*Tabla243[[#This Row],[ UNIDADES]]*0.75))</f>
        <v>0</v>
      </c>
      <c r="I57" s="260" t="s">
        <v>993</v>
      </c>
    </row>
    <row r="58" spans="1:9" s="189" customFormat="1" ht="16.5" thickBot="1">
      <c r="A58" s="214">
        <v>323</v>
      </c>
      <c r="B58" s="215" t="s">
        <v>994</v>
      </c>
      <c r="C58" s="194">
        <v>9.5</v>
      </c>
      <c r="D58" s="216">
        <v>14.95</v>
      </c>
      <c r="E58" s="194" t="s">
        <v>934</v>
      </c>
      <c r="F58" s="194" t="s">
        <v>935</v>
      </c>
      <c r="G58" s="196"/>
      <c r="H58" s="193">
        <f>IF(Tabla243[[#This Row],[ UNIDADES]]&lt;5,Tabla243[[#This Row],[PVL]]*Tabla243[[#This Row],[ UNIDADES]],IF(Tabla243[[#This Row],[ UNIDADES]]&lt;12,Tabla243[[#This Row],[PVL]]*Tabla243[[#This Row],[ UNIDADES]]*0.8,Tabla243[[#This Row],[PVL]]*Tabla243[[#This Row],[ UNIDADES]]*0.75))</f>
        <v>0</v>
      </c>
      <c r="I58" s="260" t="s">
        <v>971</v>
      </c>
    </row>
    <row r="59" spans="1:9" s="189" customFormat="1" ht="16.5" thickBot="1">
      <c r="A59" s="214">
        <v>340</v>
      </c>
      <c r="B59" s="215" t="s">
        <v>995</v>
      </c>
      <c r="C59" s="194">
        <v>9.39</v>
      </c>
      <c r="D59" s="216">
        <v>14.5</v>
      </c>
      <c r="E59" s="194" t="s">
        <v>934</v>
      </c>
      <c r="F59" s="194" t="s">
        <v>935</v>
      </c>
      <c r="G59" s="196"/>
      <c r="H59" s="193">
        <f>IF(Tabla243[[#This Row],[ UNIDADES]]&lt;5,Tabla243[[#This Row],[PVL]]*Tabla243[[#This Row],[ UNIDADES]],IF(Tabla243[[#This Row],[ UNIDADES]]&lt;12,Tabla243[[#This Row],[PVL]]*Tabla243[[#This Row],[ UNIDADES]]*0.8,Tabla243[[#This Row],[PVL]]*Tabla243[[#This Row],[ UNIDADES]]*0.75))</f>
        <v>0</v>
      </c>
      <c r="I59" s="260" t="s">
        <v>993</v>
      </c>
    </row>
    <row r="60" spans="1:9" s="189" customFormat="1" ht="16.5" thickBot="1">
      <c r="A60" s="214">
        <v>347</v>
      </c>
      <c r="B60" s="215" t="s">
        <v>996</v>
      </c>
      <c r="C60" s="194">
        <v>8.4700000000000006</v>
      </c>
      <c r="D60" s="216">
        <v>11.95</v>
      </c>
      <c r="E60" s="194" t="s">
        <v>934</v>
      </c>
      <c r="F60" s="194" t="s">
        <v>935</v>
      </c>
      <c r="G60" s="196"/>
      <c r="H60" s="193">
        <f>IF(Tabla243[[#This Row],[ UNIDADES]]&lt;5,Tabla243[[#This Row],[PVL]]*Tabla243[[#This Row],[ UNIDADES]],IF(Tabla243[[#This Row],[ UNIDADES]]&lt;12,Tabla243[[#This Row],[PVL]]*Tabla243[[#This Row],[ UNIDADES]]*0.8,Tabla243[[#This Row],[PVL]]*Tabla243[[#This Row],[ UNIDADES]]*0.75))</f>
        <v>0</v>
      </c>
      <c r="I60" s="260" t="s">
        <v>959</v>
      </c>
    </row>
    <row r="61" spans="1:9" s="189" customFormat="1" ht="16.5" thickBot="1">
      <c r="A61" s="214">
        <v>351</v>
      </c>
      <c r="B61" s="215" t="s">
        <v>997</v>
      </c>
      <c r="C61" s="194">
        <v>20.82</v>
      </c>
      <c r="D61" s="216">
        <v>29.75</v>
      </c>
      <c r="E61" s="194" t="s">
        <v>934</v>
      </c>
      <c r="F61" s="194" t="s">
        <v>935</v>
      </c>
      <c r="G61" s="196"/>
      <c r="H61" s="193">
        <f>IF(Tabla243[[#This Row],[ UNIDADES]]&lt;5,Tabla243[[#This Row],[PVL]]*Tabla243[[#This Row],[ UNIDADES]],IF(Tabla243[[#This Row],[ UNIDADES]]&lt;12,Tabla243[[#This Row],[PVL]]*Tabla243[[#This Row],[ UNIDADES]]*0.8,Tabla243[[#This Row],[PVL]]*Tabla243[[#This Row],[ UNIDADES]]*0.75))</f>
        <v>0</v>
      </c>
      <c r="I61" s="260" t="s">
        <v>966</v>
      </c>
    </row>
    <row r="62" spans="1:9" s="189" customFormat="1" ht="16.5" thickBot="1">
      <c r="A62" s="214">
        <v>355</v>
      </c>
      <c r="B62" s="215" t="s">
        <v>998</v>
      </c>
      <c r="C62" s="194">
        <v>8.6</v>
      </c>
      <c r="D62" s="216">
        <v>12.6</v>
      </c>
      <c r="E62" s="194" t="s">
        <v>934</v>
      </c>
      <c r="F62" s="194" t="s">
        <v>935</v>
      </c>
      <c r="G62" s="196"/>
      <c r="H62" s="193">
        <f>IF(Tabla243[[#This Row],[ UNIDADES]]&lt;5,Tabla243[[#This Row],[PVL]]*Tabla243[[#This Row],[ UNIDADES]],IF(Tabla243[[#This Row],[ UNIDADES]]&lt;12,Tabla243[[#This Row],[PVL]]*Tabla243[[#This Row],[ UNIDADES]]*0.8,Tabla243[[#This Row],[PVL]]*Tabla243[[#This Row],[ UNIDADES]]*0.75))</f>
        <v>0</v>
      </c>
      <c r="I62" s="260" t="s">
        <v>983</v>
      </c>
    </row>
    <row r="63" spans="1:9" s="189" customFormat="1" ht="16.5" thickBot="1">
      <c r="A63" s="214">
        <v>359</v>
      </c>
      <c r="B63" s="215" t="s">
        <v>999</v>
      </c>
      <c r="C63" s="194">
        <v>8.5</v>
      </c>
      <c r="D63" s="216">
        <v>13.5</v>
      </c>
      <c r="E63" s="194" t="s">
        <v>934</v>
      </c>
      <c r="F63" s="194" t="s">
        <v>935</v>
      </c>
      <c r="G63" s="196"/>
      <c r="H63" s="193">
        <f>IF(Tabla243[[#This Row],[ UNIDADES]]&lt;5,Tabla243[[#This Row],[PVL]]*Tabla243[[#This Row],[ UNIDADES]],IF(Tabla243[[#This Row],[ UNIDADES]]&lt;12,Tabla243[[#This Row],[PVL]]*Tabla243[[#This Row],[ UNIDADES]]*0.8,Tabla243[[#This Row],[PVL]]*Tabla243[[#This Row],[ UNIDADES]]*0.75))</f>
        <v>0</v>
      </c>
      <c r="I63" s="260" t="s">
        <v>1000</v>
      </c>
    </row>
    <row r="64" spans="1:9" s="189" customFormat="1" ht="16.5" thickBot="1">
      <c r="A64" s="218">
        <v>363</v>
      </c>
      <c r="B64" s="219" t="s">
        <v>1001</v>
      </c>
      <c r="C64" s="201">
        <v>25.26</v>
      </c>
      <c r="D64" s="220">
        <v>39.700000000000003</v>
      </c>
      <c r="E64" s="194" t="s">
        <v>934</v>
      </c>
      <c r="F64" s="194" t="s">
        <v>935</v>
      </c>
      <c r="G64" s="196"/>
      <c r="H64" s="193">
        <f>IF(Tabla243[[#This Row],[ UNIDADES]]&lt;5,Tabla243[[#This Row],[PVL]]*Tabla243[[#This Row],[ UNIDADES]],IF(Tabla243[[#This Row],[ UNIDADES]]&lt;12,Tabla243[[#This Row],[PVL]]*Tabla243[[#This Row],[ UNIDADES]]*0.8,Tabla243[[#This Row],[PVL]]*Tabla243[[#This Row],[ UNIDADES]]*0.75))</f>
        <v>0</v>
      </c>
      <c r="I64" s="260" t="s">
        <v>971</v>
      </c>
    </row>
    <row r="65" spans="1:9" s="189" customFormat="1" ht="16.5" thickBot="1">
      <c r="A65" s="214">
        <v>364</v>
      </c>
      <c r="B65" s="215" t="s">
        <v>1002</v>
      </c>
      <c r="C65" s="194">
        <v>31.17</v>
      </c>
      <c r="D65" s="216">
        <v>48.95</v>
      </c>
      <c r="E65" s="194" t="s">
        <v>963</v>
      </c>
      <c r="F65" s="217"/>
      <c r="G65" s="196"/>
      <c r="H65" s="193">
        <f>IF(Tabla243[[#This Row],[ UNIDADES]]&lt;12,Tabla243[[#This Row],[PVL]]*Tabla243[[#This Row],[ UNIDADES]],Tabla243[[#This Row],[PVL]]*Tabla243[[#This Row],[ UNIDADES]]*0.9167)</f>
        <v>0</v>
      </c>
      <c r="I65" s="260" t="s">
        <v>971</v>
      </c>
    </row>
    <row r="66" spans="1:9" s="189" customFormat="1" ht="16.5" thickBot="1">
      <c r="A66" s="218">
        <v>368</v>
      </c>
      <c r="B66" s="219" t="s">
        <v>1003</v>
      </c>
      <c r="C66" s="201">
        <v>12</v>
      </c>
      <c r="D66" s="220">
        <v>16.96</v>
      </c>
      <c r="E66" s="194" t="s">
        <v>934</v>
      </c>
      <c r="F66" s="194" t="s">
        <v>935</v>
      </c>
      <c r="G66" s="196"/>
      <c r="H66" s="193">
        <f>IF(Tabla243[[#This Row],[ UNIDADES]]&lt;5,Tabla243[[#This Row],[PVL]]*Tabla243[[#This Row],[ UNIDADES]],IF(Tabla243[[#This Row],[ UNIDADES]]&lt;12,Tabla243[[#This Row],[PVL]]*Tabla243[[#This Row],[ UNIDADES]]*0.8,Tabla243[[#This Row],[PVL]]*Tabla243[[#This Row],[ UNIDADES]]*0.75))</f>
        <v>0</v>
      </c>
      <c r="I66" s="260" t="s">
        <v>959</v>
      </c>
    </row>
    <row r="67" spans="1:9" s="189" customFormat="1" ht="16.5" thickBot="1">
      <c r="A67" s="214">
        <v>369</v>
      </c>
      <c r="B67" s="215" t="s">
        <v>1004</v>
      </c>
      <c r="C67" s="194">
        <v>9.77</v>
      </c>
      <c r="D67" s="216">
        <v>15.35</v>
      </c>
      <c r="E67" s="194" t="s">
        <v>934</v>
      </c>
      <c r="F67" s="194" t="s">
        <v>935</v>
      </c>
      <c r="G67" s="196"/>
      <c r="H67" s="193">
        <f>IF(Tabla243[[#This Row],[ UNIDADES]]&lt;5,Tabla243[[#This Row],[PVL]]*Tabla243[[#This Row],[ UNIDADES]],IF(Tabla243[[#This Row],[ UNIDADES]]&lt;12,Tabla243[[#This Row],[PVL]]*Tabla243[[#This Row],[ UNIDADES]]*0.8,Tabla243[[#This Row],[PVL]]*Tabla243[[#This Row],[ UNIDADES]]*0.75))</f>
        <v>0</v>
      </c>
      <c r="I67" s="260" t="s">
        <v>1005</v>
      </c>
    </row>
    <row r="68" spans="1:9" s="189" customFormat="1" ht="16.5" thickBot="1">
      <c r="A68" s="214">
        <v>371</v>
      </c>
      <c r="B68" s="215" t="s">
        <v>1006</v>
      </c>
      <c r="C68" s="194">
        <v>7.33</v>
      </c>
      <c r="D68" s="216">
        <v>11.51</v>
      </c>
      <c r="E68" s="194" t="s">
        <v>934</v>
      </c>
      <c r="F68" s="194" t="s">
        <v>935</v>
      </c>
      <c r="G68" s="196"/>
      <c r="H68" s="193">
        <f>IF(Tabla243[[#This Row],[ UNIDADES]]&lt;5,Tabla243[[#This Row],[PVL]]*Tabla243[[#This Row],[ UNIDADES]],IF(Tabla243[[#This Row],[ UNIDADES]]&lt;12,Tabla243[[#This Row],[PVL]]*Tabla243[[#This Row],[ UNIDADES]]*0.8,Tabla243[[#This Row],[PVL]]*Tabla243[[#This Row],[ UNIDADES]]*0.75))</f>
        <v>0</v>
      </c>
      <c r="I68" s="260" t="s">
        <v>957</v>
      </c>
    </row>
    <row r="69" spans="1:9" s="189" customFormat="1" ht="18" customHeight="1" thickBot="1">
      <c r="A69" s="214">
        <v>373</v>
      </c>
      <c r="B69" s="215" t="s">
        <v>1007</v>
      </c>
      <c r="C69" s="194">
        <v>1.58</v>
      </c>
      <c r="D69" s="216">
        <v>2.48</v>
      </c>
      <c r="E69" s="194" t="s">
        <v>934</v>
      </c>
      <c r="F69" s="194" t="s">
        <v>935</v>
      </c>
      <c r="G69" s="196"/>
      <c r="H69" s="193">
        <f>IF(Tabla243[[#This Row],[ UNIDADES]]&lt;5,Tabla243[[#This Row],[PVL]]*Tabla243[[#This Row],[ UNIDADES]],IF(Tabla243[[#This Row],[ UNIDADES]]&lt;12,Tabla243[[#This Row],[PVL]]*Tabla243[[#This Row],[ UNIDADES]]*0.8,Tabla243[[#This Row],[PVL]]*Tabla243[[#This Row],[ UNIDADES]]*0.75))</f>
        <v>0</v>
      </c>
      <c r="I69" s="260" t="s">
        <v>983</v>
      </c>
    </row>
    <row r="70" spans="1:9" s="189" customFormat="1" ht="20.25" hidden="1" customHeight="1">
      <c r="A70" s="214">
        <v>374</v>
      </c>
      <c r="B70" s="215" t="s">
        <v>1008</v>
      </c>
      <c r="C70" s="194">
        <v>3.37</v>
      </c>
      <c r="D70" s="216">
        <v>5.29</v>
      </c>
      <c r="E70" s="194" t="s">
        <v>934</v>
      </c>
      <c r="F70" s="194" t="s">
        <v>935</v>
      </c>
      <c r="G70" s="196"/>
      <c r="H70" s="193">
        <f>IF(Tabla243[[#This Row],[ UNIDADES]]&lt;5,Tabla243[[#This Row],[PVL]]*Tabla243[[#This Row],[ UNIDADES]],IF(Tabla243[[#This Row],[ UNIDADES]]&lt;12,Tabla243[[#This Row],[PVL]]*Tabla243[[#This Row],[ UNIDADES]]*0.8,Tabla243[[#This Row],[PVL]]*Tabla243[[#This Row],[ UNIDADES]]*0.75))</f>
        <v>0</v>
      </c>
      <c r="I70" s="260" t="s">
        <v>983</v>
      </c>
    </row>
    <row r="71" spans="1:9" s="189" customFormat="1" ht="16.5" thickBot="1">
      <c r="A71" s="214">
        <v>376</v>
      </c>
      <c r="B71" s="215" t="s">
        <v>1009</v>
      </c>
      <c r="C71" s="194">
        <v>9.76</v>
      </c>
      <c r="D71" s="216">
        <v>15.34</v>
      </c>
      <c r="E71" s="194" t="s">
        <v>934</v>
      </c>
      <c r="F71" s="194" t="s">
        <v>935</v>
      </c>
      <c r="G71" s="196"/>
      <c r="H71" s="193">
        <f>IF(Tabla243[[#This Row],[ UNIDADES]]&lt;5,Tabla243[[#This Row],[PVL]]*Tabla243[[#This Row],[ UNIDADES]],IF(Tabla243[[#This Row],[ UNIDADES]]&lt;12,Tabla243[[#This Row],[PVL]]*Tabla243[[#This Row],[ UNIDADES]]*0.8,Tabla243[[#This Row],[PVL]]*Tabla243[[#This Row],[ UNIDADES]]*0.75))</f>
        <v>0</v>
      </c>
      <c r="I71" s="260" t="s">
        <v>959</v>
      </c>
    </row>
    <row r="72" spans="1:9" s="189" customFormat="1" ht="16.5" thickBot="1">
      <c r="A72" s="214">
        <v>377</v>
      </c>
      <c r="B72" s="215" t="s">
        <v>1010</v>
      </c>
      <c r="C72" s="194">
        <v>7.68</v>
      </c>
      <c r="D72" s="216">
        <v>12.05</v>
      </c>
      <c r="E72" s="194" t="s">
        <v>934</v>
      </c>
      <c r="F72" s="194" t="s">
        <v>935</v>
      </c>
      <c r="G72" s="196"/>
      <c r="H72" s="193">
        <f>IF(Tabla243[[#This Row],[ UNIDADES]]&lt;5,Tabla243[[#This Row],[PVL]]*Tabla243[[#This Row],[ UNIDADES]],IF(Tabla243[[#This Row],[ UNIDADES]]&lt;12,Tabla243[[#This Row],[PVL]]*Tabla243[[#This Row],[ UNIDADES]]*0.8,Tabla243[[#This Row],[PVL]]*Tabla243[[#This Row],[ UNIDADES]]*0.75))</f>
        <v>0</v>
      </c>
      <c r="I72" s="260" t="s">
        <v>971</v>
      </c>
    </row>
    <row r="73" spans="1:9" s="189" customFormat="1" ht="16.5" customHeight="1" thickBot="1">
      <c r="A73" s="214">
        <v>378</v>
      </c>
      <c r="B73" s="215" t="s">
        <v>1011</v>
      </c>
      <c r="C73" s="194">
        <v>7.07</v>
      </c>
      <c r="D73" s="216">
        <v>11.1</v>
      </c>
      <c r="E73" s="194" t="s">
        <v>934</v>
      </c>
      <c r="F73" s="194" t="s">
        <v>935</v>
      </c>
      <c r="G73" s="196"/>
      <c r="H73" s="193">
        <f>IF(Tabla243[[#This Row],[ UNIDADES]]&lt;5,Tabla243[[#This Row],[PVL]]*Tabla243[[#This Row],[ UNIDADES]],IF(Tabla243[[#This Row],[ UNIDADES]]&lt;12,Tabla243[[#This Row],[PVL]]*Tabla243[[#This Row],[ UNIDADES]]*0.8,Tabla243[[#This Row],[PVL]]*Tabla243[[#This Row],[ UNIDADES]]*0.75))</f>
        <v>0</v>
      </c>
      <c r="I73" s="260" t="s">
        <v>957</v>
      </c>
    </row>
    <row r="74" spans="1:9" s="189" customFormat="1" ht="16.5" thickBot="1">
      <c r="A74" s="214">
        <v>379</v>
      </c>
      <c r="B74" s="215" t="s">
        <v>1012</v>
      </c>
      <c r="C74" s="194">
        <v>4.4000000000000004</v>
      </c>
      <c r="D74" s="216">
        <v>6.82</v>
      </c>
      <c r="E74" s="194" t="s">
        <v>934</v>
      </c>
      <c r="F74" s="194" t="s">
        <v>935</v>
      </c>
      <c r="G74" s="196"/>
      <c r="H74" s="193">
        <f>IF(Tabla243[[#This Row],[ UNIDADES]]&lt;5,Tabla243[[#This Row],[PVL]]*Tabla243[[#This Row],[ UNIDADES]],IF(Tabla243[[#This Row],[ UNIDADES]]&lt;12,Tabla243[[#This Row],[PVL]]*Tabla243[[#This Row],[ UNIDADES]]*0.8,Tabla243[[#This Row],[PVL]]*Tabla243[[#This Row],[ UNIDADES]]*0.75))</f>
        <v>0</v>
      </c>
      <c r="I74" s="260" t="s">
        <v>971</v>
      </c>
    </row>
    <row r="75" spans="1:9" s="189" customFormat="1" ht="15.75" customHeight="1" thickBot="1">
      <c r="A75" s="214">
        <v>381</v>
      </c>
      <c r="B75" s="215" t="s">
        <v>1013</v>
      </c>
      <c r="C75" s="194">
        <v>8.14</v>
      </c>
      <c r="D75" s="216">
        <v>12.8</v>
      </c>
      <c r="E75" s="194" t="s">
        <v>934</v>
      </c>
      <c r="F75" s="194" t="s">
        <v>935</v>
      </c>
      <c r="G75" s="196"/>
      <c r="H75" s="193">
        <f>IF(Tabla243[[#This Row],[ UNIDADES]]&lt;5,Tabla243[[#This Row],[PVL]]*Tabla243[[#This Row],[ UNIDADES]],IF(Tabla243[[#This Row],[ UNIDADES]]&lt;12,Tabla243[[#This Row],[PVL]]*Tabla243[[#This Row],[ UNIDADES]]*0.8,Tabla243[[#This Row],[PVL]]*Tabla243[[#This Row],[ UNIDADES]]*0.75))</f>
        <v>0</v>
      </c>
      <c r="I75" s="260" t="s">
        <v>957</v>
      </c>
    </row>
    <row r="76" spans="1:9" s="189" customFormat="1" ht="16.5" thickBot="1">
      <c r="A76" s="214">
        <v>382</v>
      </c>
      <c r="B76" s="215" t="s">
        <v>1014</v>
      </c>
      <c r="C76" s="194">
        <v>12.33</v>
      </c>
      <c r="D76" s="216">
        <v>19.38</v>
      </c>
      <c r="E76" s="194" t="s">
        <v>934</v>
      </c>
      <c r="F76" s="194" t="s">
        <v>935</v>
      </c>
      <c r="G76" s="196"/>
      <c r="H76" s="193">
        <f>IF(Tabla243[[#This Row],[ UNIDADES]]&lt;5,Tabla243[[#This Row],[PVL]]*Tabla243[[#This Row],[ UNIDADES]],IF(Tabla243[[#This Row],[ UNIDADES]]&lt;12,Tabla243[[#This Row],[PVL]]*Tabla243[[#This Row],[ UNIDADES]]*0.8,Tabla243[[#This Row],[PVL]]*Tabla243[[#This Row],[ UNIDADES]]*0.75))</f>
        <v>0</v>
      </c>
      <c r="I76" s="260" t="s">
        <v>971</v>
      </c>
    </row>
    <row r="77" spans="1:9" s="189" customFormat="1" ht="16.5" thickBot="1">
      <c r="A77" s="214">
        <v>384</v>
      </c>
      <c r="B77" s="215" t="s">
        <v>1015</v>
      </c>
      <c r="C77" s="194">
        <v>10.45</v>
      </c>
      <c r="D77" s="216">
        <v>16.420000000000002</v>
      </c>
      <c r="E77" s="194" t="s">
        <v>934</v>
      </c>
      <c r="F77" s="194" t="s">
        <v>935</v>
      </c>
      <c r="G77" s="196"/>
      <c r="H77" s="193">
        <f>IF(Tabla243[[#This Row],[ UNIDADES]]&lt;5,Tabla243[[#This Row],[PVL]]*Tabla243[[#This Row],[ UNIDADES]],IF(Tabla243[[#This Row],[ UNIDADES]]&lt;12,Tabla243[[#This Row],[PVL]]*Tabla243[[#This Row],[ UNIDADES]]*0.8,Tabla243[[#This Row],[PVL]]*Tabla243[[#This Row],[ UNIDADES]]*0.75))</f>
        <v>0</v>
      </c>
      <c r="I77" s="260" t="s">
        <v>1005</v>
      </c>
    </row>
    <row r="78" spans="1:9" s="189" customFormat="1" ht="16.5" thickBot="1">
      <c r="A78" s="214">
        <v>385</v>
      </c>
      <c r="B78" s="215" t="s">
        <v>1016</v>
      </c>
      <c r="C78" s="194">
        <v>12.33</v>
      </c>
      <c r="D78" s="216">
        <v>19.38</v>
      </c>
      <c r="E78" s="194" t="s">
        <v>934</v>
      </c>
      <c r="F78" s="194" t="s">
        <v>935</v>
      </c>
      <c r="G78" s="196"/>
      <c r="H78" s="193">
        <f>IF(Tabla243[[#This Row],[ UNIDADES]]&lt;5,Tabla243[[#This Row],[PVL]]*Tabla243[[#This Row],[ UNIDADES]],IF(Tabla243[[#This Row],[ UNIDADES]]&lt;12,Tabla243[[#This Row],[PVL]]*Tabla243[[#This Row],[ UNIDADES]]*0.8,Tabla243[[#This Row],[PVL]]*Tabla243[[#This Row],[ UNIDADES]]*0.75))</f>
        <v>0</v>
      </c>
      <c r="I78" s="260" t="s">
        <v>959</v>
      </c>
    </row>
    <row r="79" spans="1:9" s="189" customFormat="1" ht="16.5" thickBot="1">
      <c r="A79" s="214">
        <v>388</v>
      </c>
      <c r="B79" s="215" t="s">
        <v>1017</v>
      </c>
      <c r="C79" s="194">
        <v>12.38</v>
      </c>
      <c r="D79" s="216">
        <v>19.45</v>
      </c>
      <c r="E79" s="194" t="s">
        <v>934</v>
      </c>
      <c r="F79" s="194" t="s">
        <v>935</v>
      </c>
      <c r="G79" s="196"/>
      <c r="H79" s="193">
        <f>IF(Tabla243[[#This Row],[ UNIDADES]]&lt;5,Tabla243[[#This Row],[PVL]]*Tabla243[[#This Row],[ UNIDADES]],IF(Tabla243[[#This Row],[ UNIDADES]]&lt;12,Tabla243[[#This Row],[PVL]]*Tabla243[[#This Row],[ UNIDADES]]*0.8,Tabla243[[#This Row],[PVL]]*Tabla243[[#This Row],[ UNIDADES]]*0.75))</f>
        <v>0</v>
      </c>
      <c r="I79" s="260" t="s">
        <v>966</v>
      </c>
    </row>
    <row r="80" spans="1:9" s="189" customFormat="1" ht="16.5" thickBot="1">
      <c r="A80" s="214">
        <v>390</v>
      </c>
      <c r="B80" s="215" t="s">
        <v>1018</v>
      </c>
      <c r="C80" s="194">
        <v>10.08</v>
      </c>
      <c r="D80" s="216">
        <v>15.85</v>
      </c>
      <c r="E80" s="194" t="s">
        <v>934</v>
      </c>
      <c r="F80" s="194" t="s">
        <v>935</v>
      </c>
      <c r="G80" s="196"/>
      <c r="H80" s="193">
        <f>IF(Tabla243[[#This Row],[ UNIDADES]]&lt;5,Tabla243[[#This Row],[PVL]]*Tabla243[[#This Row],[ UNIDADES]],IF(Tabla243[[#This Row],[ UNIDADES]]&lt;12,Tabla243[[#This Row],[PVL]]*Tabla243[[#This Row],[ UNIDADES]]*0.8,Tabla243[[#This Row],[PVL]]*Tabla243[[#This Row],[ UNIDADES]]*0.75))</f>
        <v>0</v>
      </c>
      <c r="I80" s="260" t="s">
        <v>1005</v>
      </c>
    </row>
    <row r="81" spans="1:9" s="189" customFormat="1" ht="16.5" thickBot="1">
      <c r="A81" s="214">
        <v>391</v>
      </c>
      <c r="B81" s="215" t="s">
        <v>1019</v>
      </c>
      <c r="C81" s="194">
        <v>18.77</v>
      </c>
      <c r="D81" s="216">
        <v>29.5</v>
      </c>
      <c r="E81" s="194" t="s">
        <v>963</v>
      </c>
      <c r="F81" s="217"/>
      <c r="G81" s="196"/>
      <c r="H81" s="193">
        <f>IF(Tabla243[[#This Row],[ UNIDADES]]&lt;12,Tabla243[[#This Row],[PVL]]*Tabla243[[#This Row],[ UNIDADES]],Tabla243[[#This Row],[PVL]]*Tabla243[[#This Row],[ UNIDADES]]*0.9167)</f>
        <v>0</v>
      </c>
      <c r="I81" s="260" t="s">
        <v>993</v>
      </c>
    </row>
    <row r="82" spans="1:9" s="189" customFormat="1" ht="16.5" thickBot="1">
      <c r="A82" s="214">
        <v>392</v>
      </c>
      <c r="B82" s="215" t="s">
        <v>1020</v>
      </c>
      <c r="C82" s="194">
        <v>28.83</v>
      </c>
      <c r="D82" s="216">
        <v>45.3</v>
      </c>
      <c r="E82" s="194" t="s">
        <v>963</v>
      </c>
      <c r="F82" s="217"/>
      <c r="G82" s="196"/>
      <c r="H82" s="193">
        <f>IF(Tabla243[[#This Row],[ UNIDADES]]&lt;12,Tabla243[[#This Row],[PVL]]*Tabla243[[#This Row],[ UNIDADES]],Tabla243[[#This Row],[PVL]]*Tabla243[[#This Row],[ UNIDADES]]*0.9167)</f>
        <v>0</v>
      </c>
      <c r="I82" s="260" t="s">
        <v>971</v>
      </c>
    </row>
    <row r="83" spans="1:9" s="189" customFormat="1" ht="16.5" thickBot="1">
      <c r="A83" s="218">
        <v>395</v>
      </c>
      <c r="B83" s="219" t="s">
        <v>1021</v>
      </c>
      <c r="C83" s="201">
        <v>9.5</v>
      </c>
      <c r="D83" s="220">
        <v>14.95</v>
      </c>
      <c r="E83" s="194" t="s">
        <v>934</v>
      </c>
      <c r="F83" s="194" t="s">
        <v>935</v>
      </c>
      <c r="G83" s="196"/>
      <c r="H83" s="193">
        <f>IF(Tabla243[[#This Row],[ UNIDADES]]&lt;5,Tabla243[[#This Row],[PVL]]*Tabla243[[#This Row],[ UNIDADES]],IF(Tabla243[[#This Row],[ UNIDADES]]&lt;12,Tabla243[[#This Row],[PVL]]*Tabla243[[#This Row],[ UNIDADES]]*0.8,Tabla243[[#This Row],[PVL]]*Tabla243[[#This Row],[ UNIDADES]]*0.75))</f>
        <v>0</v>
      </c>
      <c r="I83" s="260" t="s">
        <v>957</v>
      </c>
    </row>
    <row r="84" spans="1:9" s="189" customFormat="1" ht="16.5" thickBot="1">
      <c r="A84" s="214">
        <v>397</v>
      </c>
      <c r="B84" s="215" t="s">
        <v>1022</v>
      </c>
      <c r="C84" s="194">
        <v>20.92</v>
      </c>
      <c r="D84" s="216">
        <v>32.85</v>
      </c>
      <c r="E84" s="194" t="s">
        <v>934</v>
      </c>
      <c r="F84" s="194" t="s">
        <v>935</v>
      </c>
      <c r="G84" s="196"/>
      <c r="H84" s="193">
        <f>IF(Tabla243[[#This Row],[ UNIDADES]]&lt;5,Tabla243[[#This Row],[PVL]]*Tabla243[[#This Row],[ UNIDADES]],IF(Tabla243[[#This Row],[ UNIDADES]]&lt;12,Tabla243[[#This Row],[PVL]]*Tabla243[[#This Row],[ UNIDADES]]*0.8,Tabla243[[#This Row],[PVL]]*Tabla243[[#This Row],[ UNIDADES]]*0.75))</f>
        <v>0</v>
      </c>
      <c r="I84" s="260" t="s">
        <v>966</v>
      </c>
    </row>
    <row r="85" spans="1:9" s="189" customFormat="1" ht="16.5" thickBot="1">
      <c r="A85" s="214">
        <v>400</v>
      </c>
      <c r="B85" s="215" t="s">
        <v>1023</v>
      </c>
      <c r="C85" s="194">
        <v>9.82</v>
      </c>
      <c r="D85" s="216">
        <v>15.43</v>
      </c>
      <c r="E85" s="194" t="s">
        <v>934</v>
      </c>
      <c r="F85" s="194" t="s">
        <v>935</v>
      </c>
      <c r="G85" s="196"/>
      <c r="H85" s="193">
        <f>IF(Tabla243[[#This Row],[ UNIDADES]]&lt;5,Tabla243[[#This Row],[PVL]]*Tabla243[[#This Row],[ UNIDADES]],IF(Tabla243[[#This Row],[ UNIDADES]]&lt;12,Tabla243[[#This Row],[PVL]]*Tabla243[[#This Row],[ UNIDADES]]*0.8,Tabla243[[#This Row],[PVL]]*Tabla243[[#This Row],[ UNIDADES]]*0.75))</f>
        <v>0</v>
      </c>
      <c r="I85" s="260" t="s">
        <v>971</v>
      </c>
    </row>
    <row r="86" spans="1:9" s="189" customFormat="1" ht="16.5" thickBot="1">
      <c r="A86" s="214">
        <v>404</v>
      </c>
      <c r="B86" s="215" t="s">
        <v>1024</v>
      </c>
      <c r="C86" s="194">
        <v>19.04</v>
      </c>
      <c r="D86" s="216">
        <v>29.92</v>
      </c>
      <c r="E86" s="194" t="s">
        <v>934</v>
      </c>
      <c r="F86" s="194" t="s">
        <v>935</v>
      </c>
      <c r="G86" s="196"/>
      <c r="H86" s="193">
        <f>IF(Tabla243[[#This Row],[ UNIDADES]]&lt;5,Tabla243[[#This Row],[PVL]]*Tabla243[[#This Row],[ UNIDADES]],IF(Tabla243[[#This Row],[ UNIDADES]]&lt;12,Tabla243[[#This Row],[PVL]]*Tabla243[[#This Row],[ UNIDADES]]*0.8,Tabla243[[#This Row],[PVL]]*Tabla243[[#This Row],[ UNIDADES]]*0.75))</f>
        <v>0</v>
      </c>
      <c r="I86" s="260" t="s">
        <v>983</v>
      </c>
    </row>
    <row r="87" spans="1:9" s="189" customFormat="1" ht="16.5" thickBot="1">
      <c r="A87" s="218">
        <v>405</v>
      </c>
      <c r="B87" s="219" t="s">
        <v>1025</v>
      </c>
      <c r="C87" s="201">
        <v>10.08</v>
      </c>
      <c r="D87" s="220">
        <v>15.85</v>
      </c>
      <c r="E87" s="194" t="s">
        <v>934</v>
      </c>
      <c r="F87" s="194" t="s">
        <v>935</v>
      </c>
      <c r="G87" s="196"/>
      <c r="H87" s="193">
        <f>IF(Tabla243[[#This Row],[ UNIDADES]]&lt;5,Tabla243[[#This Row],[PVL]]*Tabla243[[#This Row],[ UNIDADES]],IF(Tabla243[[#This Row],[ UNIDADES]]&lt;12,Tabla243[[#This Row],[PVL]]*Tabla243[[#This Row],[ UNIDADES]]*0.8,Tabla243[[#This Row],[PVL]]*Tabla243[[#This Row],[ UNIDADES]]*0.75))</f>
        <v>0</v>
      </c>
      <c r="I87" s="260" t="s">
        <v>991</v>
      </c>
    </row>
    <row r="88" spans="1:9" s="189" customFormat="1" ht="16.5" thickBot="1">
      <c r="A88" s="214">
        <v>406</v>
      </c>
      <c r="B88" s="215" t="s">
        <v>1026</v>
      </c>
      <c r="C88" s="194">
        <v>28.9</v>
      </c>
      <c r="D88" s="216">
        <v>45.41</v>
      </c>
      <c r="E88" s="194" t="s">
        <v>963</v>
      </c>
      <c r="F88" s="217"/>
      <c r="G88" s="196"/>
      <c r="H88" s="193">
        <f>IF(Tabla243[[#This Row],[ UNIDADES]]&lt;12,Tabla243[[#This Row],[PVL]]*Tabla243[[#This Row],[ UNIDADES]],Tabla243[[#This Row],[PVL]]*Tabla243[[#This Row],[ UNIDADES]]*0.9167)</f>
        <v>0</v>
      </c>
      <c r="I88" s="260" t="s">
        <v>993</v>
      </c>
    </row>
    <row r="89" spans="1:9" s="189" customFormat="1" ht="16.5" thickBot="1">
      <c r="A89" s="214">
        <v>407</v>
      </c>
      <c r="B89" s="215" t="s">
        <v>1027</v>
      </c>
      <c r="C89" s="194">
        <v>26.94</v>
      </c>
      <c r="D89" s="216">
        <v>49.4</v>
      </c>
      <c r="E89" s="194" t="s">
        <v>963</v>
      </c>
      <c r="F89" s="217"/>
      <c r="G89" s="196"/>
      <c r="H89" s="193">
        <f>IF(Tabla243[[#This Row],[ UNIDADES]]&lt;12,Tabla243[[#This Row],[PVL]]*Tabla243[[#This Row],[ UNIDADES]],Tabla243[[#This Row],[PVL]]*Tabla243[[#This Row],[ UNIDADES]]*0.9167)</f>
        <v>0</v>
      </c>
      <c r="I89" s="260" t="s">
        <v>993</v>
      </c>
    </row>
    <row r="90" spans="1:9" s="189" customFormat="1" ht="16.5" thickBot="1">
      <c r="A90" s="214">
        <v>408</v>
      </c>
      <c r="B90" s="215" t="s">
        <v>1028</v>
      </c>
      <c r="C90" s="194">
        <v>9.1300000000000008</v>
      </c>
      <c r="D90" s="216">
        <v>16.739999999999998</v>
      </c>
      <c r="E90" s="194" t="s">
        <v>934</v>
      </c>
      <c r="F90" s="194" t="s">
        <v>935</v>
      </c>
      <c r="G90" s="196"/>
      <c r="H90" s="193">
        <f>IF(Tabla243[[#This Row],[ UNIDADES]]&lt;5,Tabla243[[#This Row],[PVL]]*Tabla243[[#This Row],[ UNIDADES]],IF(Tabla243[[#This Row],[ UNIDADES]]&lt;12,Tabla243[[#This Row],[PVL]]*Tabla243[[#This Row],[ UNIDADES]]*0.8,Tabla243[[#This Row],[PVL]]*Tabla243[[#This Row],[ UNIDADES]]*0.75))</f>
        <v>0</v>
      </c>
      <c r="I90" s="260" t="s">
        <v>966</v>
      </c>
    </row>
    <row r="91" spans="1:9" s="189" customFormat="1" ht="16.5" thickBot="1">
      <c r="A91" s="214">
        <v>409</v>
      </c>
      <c r="B91" s="215" t="s">
        <v>1029</v>
      </c>
      <c r="C91" s="194">
        <v>17.600000000000001</v>
      </c>
      <c r="D91" s="216">
        <v>32.270000000000003</v>
      </c>
      <c r="E91" s="194" t="s">
        <v>934</v>
      </c>
      <c r="F91" s="194" t="s">
        <v>935</v>
      </c>
      <c r="G91" s="196"/>
      <c r="H91" s="193">
        <f>IF(Tabla243[[#This Row],[ UNIDADES]]&lt;5,Tabla243[[#This Row],[PVL]]*Tabla243[[#This Row],[ UNIDADES]],IF(Tabla243[[#This Row],[ UNIDADES]]&lt;12,Tabla243[[#This Row],[PVL]]*Tabla243[[#This Row],[ UNIDADES]]*0.8,Tabla243[[#This Row],[PVL]]*Tabla243[[#This Row],[ UNIDADES]]*0.75))</f>
        <v>0</v>
      </c>
      <c r="I91" s="260" t="s">
        <v>966</v>
      </c>
    </row>
    <row r="92" spans="1:9" s="189" customFormat="1" ht="16.5" thickBot="1">
      <c r="A92" s="214">
        <v>410</v>
      </c>
      <c r="B92" s="215" t="s">
        <v>1030</v>
      </c>
      <c r="C92" s="194">
        <v>11.92</v>
      </c>
      <c r="D92" s="216">
        <v>21.85</v>
      </c>
      <c r="E92" s="194" t="s">
        <v>934</v>
      </c>
      <c r="F92" s="194" t="s">
        <v>935</v>
      </c>
      <c r="G92" s="196"/>
      <c r="H92" s="193">
        <f>IF(Tabla243[[#This Row],[ UNIDADES]]&lt;5,Tabla243[[#This Row],[PVL]]*Tabla243[[#This Row],[ UNIDADES]],IF(Tabla243[[#This Row],[ UNIDADES]]&lt;12,Tabla243[[#This Row],[PVL]]*Tabla243[[#This Row],[ UNIDADES]]*0.8,Tabla243[[#This Row],[PVL]]*Tabla243[[#This Row],[ UNIDADES]]*0.75))</f>
        <v>0</v>
      </c>
      <c r="I92" s="260" t="s">
        <v>966</v>
      </c>
    </row>
    <row r="93" spans="1:9" s="189" customFormat="1" ht="16.5" thickBot="1">
      <c r="A93" s="218">
        <v>411</v>
      </c>
      <c r="B93" s="219" t="s">
        <v>1031</v>
      </c>
      <c r="C93" s="201">
        <v>25.4</v>
      </c>
      <c r="D93" s="220">
        <v>46.57</v>
      </c>
      <c r="E93" s="194" t="s">
        <v>934</v>
      </c>
      <c r="F93" s="194" t="s">
        <v>935</v>
      </c>
      <c r="G93" s="196"/>
      <c r="H93" s="193">
        <f>IF(Tabla243[[#This Row],[ UNIDADES]]&lt;5,Tabla243[[#This Row],[PVL]]*Tabla243[[#This Row],[ UNIDADES]],IF(Tabla243[[#This Row],[ UNIDADES]]&lt;12,Tabla243[[#This Row],[PVL]]*Tabla243[[#This Row],[ UNIDADES]]*0.8,Tabla243[[#This Row],[PVL]]*Tabla243[[#This Row],[ UNIDADES]]*0.75))</f>
        <v>0</v>
      </c>
      <c r="I93" s="260" t="s">
        <v>966</v>
      </c>
    </row>
    <row r="94" spans="1:9" s="189" customFormat="1" ht="16.5" thickBot="1">
      <c r="A94" s="214">
        <v>414</v>
      </c>
      <c r="B94" s="215" t="s">
        <v>1032</v>
      </c>
      <c r="C94" s="194">
        <v>22.72</v>
      </c>
      <c r="D94" s="216">
        <v>41.65</v>
      </c>
      <c r="E94" s="194" t="s">
        <v>963</v>
      </c>
      <c r="F94" s="217"/>
      <c r="G94" s="196"/>
      <c r="H94" s="193">
        <f>IF(Tabla243[[#This Row],[ UNIDADES]]&lt;12,Tabla243[[#This Row],[PVL]]*Tabla243[[#This Row],[ UNIDADES]],Tabla243[[#This Row],[PVL]]*Tabla243[[#This Row],[ UNIDADES]]*0.9167)</f>
        <v>0</v>
      </c>
      <c r="I94" s="260" t="s">
        <v>993</v>
      </c>
    </row>
    <row r="95" spans="1:9" s="189" customFormat="1" ht="16.5" thickBot="1">
      <c r="A95" s="214">
        <v>415</v>
      </c>
      <c r="B95" s="215" t="s">
        <v>1033</v>
      </c>
      <c r="C95" s="194">
        <v>35.97</v>
      </c>
      <c r="D95" s="216">
        <v>56.53</v>
      </c>
      <c r="E95" s="194" t="s">
        <v>963</v>
      </c>
      <c r="F95" s="217"/>
      <c r="G95" s="196"/>
      <c r="H95" s="193">
        <f>IF(Tabla243[[#This Row],[ UNIDADES]]&lt;12,Tabla243[[#This Row],[PVL]]*Tabla243[[#This Row],[ UNIDADES]],Tabla243[[#This Row],[PVL]]*Tabla243[[#This Row],[ UNIDADES]]*0.9167)</f>
        <v>0</v>
      </c>
      <c r="I95" s="260" t="s">
        <v>993</v>
      </c>
    </row>
    <row r="96" spans="1:9" s="189" customFormat="1" ht="16.5" thickBot="1">
      <c r="A96" s="214">
        <v>417</v>
      </c>
      <c r="B96" s="215" t="s">
        <v>1034</v>
      </c>
      <c r="C96" s="194">
        <v>18.649999999999999</v>
      </c>
      <c r="D96" s="216">
        <v>29.31</v>
      </c>
      <c r="E96" s="194" t="s">
        <v>934</v>
      </c>
      <c r="F96" s="194" t="s">
        <v>935</v>
      </c>
      <c r="G96" s="196"/>
      <c r="H96" s="193">
        <f>IF(Tabla243[[#This Row],[ UNIDADES]]&lt;5,Tabla243[[#This Row],[PVL]]*Tabla243[[#This Row],[ UNIDADES]],IF(Tabla243[[#This Row],[ UNIDADES]]&lt;12,Tabla243[[#This Row],[PVL]]*Tabla243[[#This Row],[ UNIDADES]]*0.8,Tabla243[[#This Row],[PVL]]*Tabla243[[#This Row],[ UNIDADES]]*0.75))</f>
        <v>0</v>
      </c>
      <c r="I96" s="260" t="s">
        <v>959</v>
      </c>
    </row>
    <row r="97" spans="1:9" s="189" customFormat="1" ht="16.5" thickBot="1">
      <c r="A97" s="221">
        <v>420</v>
      </c>
      <c r="B97" s="222" t="s">
        <v>1035</v>
      </c>
      <c r="C97" s="203">
        <v>5.97</v>
      </c>
      <c r="D97" s="223">
        <v>9.4</v>
      </c>
      <c r="E97" s="194" t="s">
        <v>934</v>
      </c>
      <c r="F97" s="224" t="s">
        <v>935</v>
      </c>
      <c r="G97" s="196"/>
      <c r="H97" s="193">
        <f>IF(Tabla243[[#This Row],[ UNIDADES]]&lt;5,Tabla243[[#This Row],[PVL]]*Tabla243[[#This Row],[ UNIDADES]],IF(Tabla243[[#This Row],[ UNIDADES]]&lt;12,Tabla243[[#This Row],[PVL]]*Tabla243[[#This Row],[ UNIDADES]]*0.8,Tabla243[[#This Row],[PVL]]*Tabla243[[#This Row],[ UNIDADES]]*0.75))</f>
        <v>0</v>
      </c>
      <c r="I97" s="264" t="s">
        <v>959</v>
      </c>
    </row>
    <row r="98" spans="1:9" s="189" customFormat="1" ht="19.5" thickBot="1">
      <c r="A98" s="225"/>
      <c r="B98" s="226" t="s">
        <v>1036</v>
      </c>
      <c r="C98" s="227"/>
      <c r="D98" s="227"/>
      <c r="E98" s="227"/>
      <c r="F98" s="227"/>
      <c r="G98" s="196"/>
      <c r="H98" s="268"/>
      <c r="I98" s="228"/>
    </row>
    <row r="99" spans="1:9" s="189" customFormat="1" ht="16.5" thickBot="1">
      <c r="A99" s="229">
        <v>206</v>
      </c>
      <c r="B99" s="230" t="s">
        <v>1037</v>
      </c>
      <c r="C99" s="212">
        <v>9</v>
      </c>
      <c r="D99" s="211">
        <v>14.15</v>
      </c>
      <c r="E99" s="194" t="s">
        <v>934</v>
      </c>
      <c r="F99" s="190" t="s">
        <v>935</v>
      </c>
      <c r="G99" s="196"/>
      <c r="H99" s="257">
        <f>IF(Tabla243[[#This Row],[ UNIDADES]]&lt;5,Tabla243[[#This Row],[PVL]]*Tabla243[[#This Row],[ UNIDADES]],IF(Tabla243[[#This Row],[ UNIDADES]]&lt;12,Tabla243[[#This Row],[PVL]]*Tabla243[[#This Row],[ UNIDADES]]*0.8,Tabla243[[#This Row],[PVL]]*Tabla243[[#This Row],[ UNIDADES]]*0.75))</f>
        <v>0</v>
      </c>
      <c r="I99" s="263" t="s">
        <v>1038</v>
      </c>
    </row>
    <row r="100" spans="1:9" s="189" customFormat="1" ht="16.5" thickBot="1">
      <c r="A100" s="231">
        <v>210</v>
      </c>
      <c r="B100" s="232" t="s">
        <v>1039</v>
      </c>
      <c r="C100" s="216">
        <v>12.6</v>
      </c>
      <c r="D100" s="194">
        <v>19.850000000000001</v>
      </c>
      <c r="E100" s="194" t="s">
        <v>934</v>
      </c>
      <c r="F100" s="194" t="s">
        <v>935</v>
      </c>
      <c r="G100" s="196"/>
      <c r="H100" s="193">
        <f>IF(Tabla243[[#This Row],[ UNIDADES]]&lt;5,Tabla243[[#This Row],[PVL]]*Tabla243[[#This Row],[ UNIDADES]],IF(Tabla243[[#This Row],[ UNIDADES]]&lt;12,Tabla243[[#This Row],[PVL]]*Tabla243[[#This Row],[ UNIDADES]]*0.8,Tabla243[[#This Row],[PVL]]*Tabla243[[#This Row],[ UNIDADES]]*0.75))</f>
        <v>0</v>
      </c>
      <c r="I100" s="260" t="s">
        <v>1040</v>
      </c>
    </row>
    <row r="101" spans="1:9" s="189" customFormat="1" ht="16.5" thickBot="1">
      <c r="A101" s="231">
        <v>238</v>
      </c>
      <c r="B101" s="232" t="s">
        <v>1041</v>
      </c>
      <c r="C101" s="216">
        <v>18.170000000000002</v>
      </c>
      <c r="D101" s="194">
        <v>24.99</v>
      </c>
      <c r="E101" s="194" t="s">
        <v>934</v>
      </c>
      <c r="F101" s="194" t="s">
        <v>935</v>
      </c>
      <c r="G101" s="196"/>
      <c r="H101" s="193">
        <f>IF(Tabla243[[#This Row],[ UNIDADES]]&lt;5,Tabla243[[#This Row],[PVL]]*Tabla243[[#This Row],[ UNIDADES]],IF(Tabla243[[#This Row],[ UNIDADES]]&lt;12,Tabla243[[#This Row],[PVL]]*Tabla243[[#This Row],[ UNIDADES]]*0.8,Tabla243[[#This Row],[PVL]]*Tabla243[[#This Row],[ UNIDADES]]*0.75))</f>
        <v>0</v>
      </c>
      <c r="I101" s="260" t="s">
        <v>1038</v>
      </c>
    </row>
    <row r="102" spans="1:9" s="189" customFormat="1" ht="16.5" thickBot="1">
      <c r="A102" s="231">
        <v>246</v>
      </c>
      <c r="B102" s="232" t="s">
        <v>1042</v>
      </c>
      <c r="C102" s="216">
        <v>12.67</v>
      </c>
      <c r="D102" s="194">
        <v>19.899999999999999</v>
      </c>
      <c r="E102" s="194" t="s">
        <v>934</v>
      </c>
      <c r="F102" s="194" t="s">
        <v>935</v>
      </c>
      <c r="G102" s="196"/>
      <c r="H102" s="193">
        <f>IF(Tabla243[[#This Row],[ UNIDADES]]&lt;5,Tabla243[[#This Row],[PVL]]*Tabla243[[#This Row],[ UNIDADES]],IF(Tabla243[[#This Row],[ UNIDADES]]&lt;12,Tabla243[[#This Row],[PVL]]*Tabla243[[#This Row],[ UNIDADES]]*0.8,Tabla243[[#This Row],[PVL]]*Tabla243[[#This Row],[ UNIDADES]]*0.75))</f>
        <v>0</v>
      </c>
      <c r="I102" s="260" t="s">
        <v>1038</v>
      </c>
    </row>
    <row r="103" spans="1:9" s="189" customFormat="1" ht="15.75" customHeight="1" thickBot="1">
      <c r="A103" s="231">
        <v>263</v>
      </c>
      <c r="B103" s="232" t="s">
        <v>1043</v>
      </c>
      <c r="C103" s="216">
        <v>9.32</v>
      </c>
      <c r="D103" s="194">
        <v>16.95</v>
      </c>
      <c r="E103" s="194" t="s">
        <v>934</v>
      </c>
      <c r="F103" s="194" t="s">
        <v>935</v>
      </c>
      <c r="G103" s="196"/>
      <c r="H103" s="193">
        <f>IF(Tabla243[[#This Row],[ UNIDADES]]&lt;5,Tabla243[[#This Row],[PVL]]*Tabla243[[#This Row],[ UNIDADES]],IF(Tabla243[[#This Row],[ UNIDADES]]&lt;12,Tabla243[[#This Row],[PVL]]*Tabla243[[#This Row],[ UNIDADES]]*0.8,Tabla243[[#This Row],[PVL]]*Tabla243[[#This Row],[ UNIDADES]]*0.75))</f>
        <v>0</v>
      </c>
      <c r="I103" s="260" t="s">
        <v>1038</v>
      </c>
    </row>
    <row r="104" spans="1:9" s="189" customFormat="1" ht="16.5" thickBot="1">
      <c r="A104" s="231">
        <v>264</v>
      </c>
      <c r="B104" s="232" t="s">
        <v>1044</v>
      </c>
      <c r="C104" s="216">
        <v>10.31</v>
      </c>
      <c r="D104" s="194">
        <v>16.25</v>
      </c>
      <c r="E104" s="194" t="s">
        <v>934</v>
      </c>
      <c r="F104" s="194" t="s">
        <v>935</v>
      </c>
      <c r="G104" s="196"/>
      <c r="H104" s="193">
        <f>IF(Tabla243[[#This Row],[ UNIDADES]]&lt;5,Tabla243[[#This Row],[PVL]]*Tabla243[[#This Row],[ UNIDADES]],IF(Tabla243[[#This Row],[ UNIDADES]]&lt;12,Tabla243[[#This Row],[PVL]]*Tabla243[[#This Row],[ UNIDADES]]*0.8,Tabla243[[#This Row],[PVL]]*Tabla243[[#This Row],[ UNIDADES]]*0.75))</f>
        <v>0</v>
      </c>
      <c r="I104" s="260" t="s">
        <v>1038</v>
      </c>
    </row>
    <row r="105" spans="1:9" s="189" customFormat="1" ht="16.5" thickBot="1">
      <c r="A105" s="231">
        <v>324</v>
      </c>
      <c r="B105" s="232" t="s">
        <v>1045</v>
      </c>
      <c r="C105" s="216">
        <v>26.25</v>
      </c>
      <c r="D105" s="194">
        <v>34.5</v>
      </c>
      <c r="E105" s="194" t="s">
        <v>934</v>
      </c>
      <c r="F105" s="194" t="s">
        <v>935</v>
      </c>
      <c r="G105" s="196"/>
      <c r="H105" s="193">
        <f>IF(Tabla243[[#This Row],[ UNIDADES]]&lt;5,Tabla243[[#This Row],[PVL]]*Tabla243[[#This Row],[ UNIDADES]],IF(Tabla243[[#This Row],[ UNIDADES]]&lt;12,Tabla243[[#This Row],[PVL]]*Tabla243[[#This Row],[ UNIDADES]]*0.8,Tabla243[[#This Row],[PVL]]*Tabla243[[#This Row],[ UNIDADES]]*0.75))</f>
        <v>0</v>
      </c>
      <c r="I105" s="260" t="s">
        <v>1038</v>
      </c>
    </row>
    <row r="106" spans="1:9" s="189" customFormat="1" ht="16.5" thickBot="1">
      <c r="A106" s="231">
        <v>338</v>
      </c>
      <c r="B106" s="232" t="s">
        <v>1046</v>
      </c>
      <c r="C106" s="216">
        <v>10.29</v>
      </c>
      <c r="D106" s="194">
        <v>14.95</v>
      </c>
      <c r="E106" s="194" t="s">
        <v>934</v>
      </c>
      <c r="F106" s="194" t="s">
        <v>935</v>
      </c>
      <c r="G106" s="196"/>
      <c r="H106" s="193">
        <f>IF(Tabla243[[#This Row],[ UNIDADES]]&lt;5,Tabla243[[#This Row],[PVL]]*Tabla243[[#This Row],[ UNIDADES]],IF(Tabla243[[#This Row],[ UNIDADES]]&lt;12,Tabla243[[#This Row],[PVL]]*Tabla243[[#This Row],[ UNIDADES]]*0.8,Tabla243[[#This Row],[PVL]]*Tabla243[[#This Row],[ UNIDADES]]*0.75))</f>
        <v>0</v>
      </c>
      <c r="I106" s="260" t="s">
        <v>1038</v>
      </c>
    </row>
    <row r="107" spans="1:9" s="189" customFormat="1" ht="16.5" thickBot="1">
      <c r="A107" s="231">
        <v>352</v>
      </c>
      <c r="B107" s="232" t="s">
        <v>1047</v>
      </c>
      <c r="C107" s="216">
        <v>8.7550000000000008</v>
      </c>
      <c r="D107" s="194">
        <v>12.5</v>
      </c>
      <c r="E107" s="194" t="s">
        <v>934</v>
      </c>
      <c r="F107" s="194" t="s">
        <v>935</v>
      </c>
      <c r="G107" s="196"/>
      <c r="H107" s="193">
        <f>IF(Tabla243[[#This Row],[ UNIDADES]]&lt;5,Tabla243[[#This Row],[PVL]]*Tabla243[[#This Row],[ UNIDADES]],IF(Tabla243[[#This Row],[ UNIDADES]]&lt;12,Tabla243[[#This Row],[PVL]]*Tabla243[[#This Row],[ UNIDADES]]*0.8,Tabla243[[#This Row],[PVL]]*Tabla243[[#This Row],[ UNIDADES]]*0.75))</f>
        <v>0</v>
      </c>
      <c r="I107" s="260" t="s">
        <v>1040</v>
      </c>
    </row>
    <row r="108" spans="1:9" s="189" customFormat="1" ht="16.5" thickBot="1">
      <c r="A108" s="231">
        <v>353</v>
      </c>
      <c r="B108" s="232" t="s">
        <v>1048</v>
      </c>
      <c r="C108" s="216">
        <v>13.56</v>
      </c>
      <c r="D108" s="194">
        <v>19.899999999999999</v>
      </c>
      <c r="E108" s="194" t="s">
        <v>934</v>
      </c>
      <c r="F108" s="194" t="s">
        <v>935</v>
      </c>
      <c r="G108" s="196"/>
      <c r="H108" s="193">
        <f>IF(Tabla243[[#This Row],[ UNIDADES]]&lt;5,Tabla243[[#This Row],[PVL]]*Tabla243[[#This Row],[ UNIDADES]],IF(Tabla243[[#This Row],[ UNIDADES]]&lt;12,Tabla243[[#This Row],[PVL]]*Tabla243[[#This Row],[ UNIDADES]]*0.8,Tabla243[[#This Row],[PVL]]*Tabla243[[#This Row],[ UNIDADES]]*0.75))</f>
        <v>0</v>
      </c>
      <c r="I108" s="260" t="s">
        <v>1038</v>
      </c>
    </row>
    <row r="109" spans="1:9" s="189" customFormat="1" ht="16.5" thickBot="1">
      <c r="A109" s="231">
        <v>356</v>
      </c>
      <c r="B109" s="232" t="s">
        <v>1049</v>
      </c>
      <c r="C109" s="216">
        <v>6.798</v>
      </c>
      <c r="D109" s="194">
        <v>9.65</v>
      </c>
      <c r="E109" s="194" t="s">
        <v>934</v>
      </c>
      <c r="F109" s="194" t="s">
        <v>935</v>
      </c>
      <c r="G109" s="196"/>
      <c r="H109" s="193">
        <f>IF(Tabla243[[#This Row],[ UNIDADES]]&lt;5,Tabla243[[#This Row],[PVL]]*Tabla243[[#This Row],[ UNIDADES]],IF(Tabla243[[#This Row],[ UNIDADES]]&lt;12,Tabla243[[#This Row],[PVL]]*Tabla243[[#This Row],[ UNIDADES]]*0.8,Tabla243[[#This Row],[PVL]]*Tabla243[[#This Row],[ UNIDADES]]*0.75))</f>
        <v>0</v>
      </c>
      <c r="I109" s="260" t="s">
        <v>1050</v>
      </c>
    </row>
    <row r="110" spans="1:9" s="189" customFormat="1" ht="16.5" thickBot="1">
      <c r="A110" s="231">
        <v>358</v>
      </c>
      <c r="B110" s="232" t="s">
        <v>1051</v>
      </c>
      <c r="C110" s="216">
        <v>5.5</v>
      </c>
      <c r="D110" s="194">
        <v>7.95</v>
      </c>
      <c r="E110" s="194" t="s">
        <v>934</v>
      </c>
      <c r="F110" s="194" t="s">
        <v>935</v>
      </c>
      <c r="G110" s="196"/>
      <c r="H110" s="193">
        <f>IF(Tabla243[[#This Row],[ UNIDADES]]&lt;5,Tabla243[[#This Row],[PVL]]*Tabla243[[#This Row],[ UNIDADES]],IF(Tabla243[[#This Row],[ UNIDADES]]&lt;12,Tabla243[[#This Row],[PVL]]*Tabla243[[#This Row],[ UNIDADES]]*0.8,Tabla243[[#This Row],[PVL]]*Tabla243[[#This Row],[ UNIDADES]]*0.75))</f>
        <v>0</v>
      </c>
      <c r="I110" s="260" t="s">
        <v>1050</v>
      </c>
    </row>
    <row r="111" spans="1:9" s="189" customFormat="1" ht="16.5" thickBot="1">
      <c r="A111" s="231">
        <v>360</v>
      </c>
      <c r="B111" s="232" t="s">
        <v>1052</v>
      </c>
      <c r="C111" s="216">
        <v>9.32</v>
      </c>
      <c r="D111" s="194">
        <v>16.95</v>
      </c>
      <c r="E111" s="194" t="s">
        <v>934</v>
      </c>
      <c r="F111" s="194" t="s">
        <v>935</v>
      </c>
      <c r="G111" s="196"/>
      <c r="H111" s="193">
        <f>IF(Tabla243[[#This Row],[ UNIDADES]]&lt;5,Tabla243[[#This Row],[PVL]]*Tabla243[[#This Row],[ UNIDADES]],IF(Tabla243[[#This Row],[ UNIDADES]]&lt;12,Tabla243[[#This Row],[PVL]]*Tabla243[[#This Row],[ UNIDADES]]*0.8,Tabla243[[#This Row],[PVL]]*Tabla243[[#This Row],[ UNIDADES]]*0.75))</f>
        <v>0</v>
      </c>
      <c r="I111" s="260" t="s">
        <v>1038</v>
      </c>
    </row>
    <row r="112" spans="1:9" s="189" customFormat="1" ht="16.5" thickBot="1">
      <c r="A112" s="231">
        <v>383</v>
      </c>
      <c r="B112" s="232" t="s">
        <v>1053</v>
      </c>
      <c r="C112" s="216">
        <v>11.14</v>
      </c>
      <c r="D112" s="194">
        <v>17.5</v>
      </c>
      <c r="E112" s="194" t="s">
        <v>934</v>
      </c>
      <c r="F112" s="194" t="s">
        <v>935</v>
      </c>
      <c r="G112" s="196"/>
      <c r="H112" s="193">
        <f>IF(Tabla243[[#This Row],[ UNIDADES]]&lt;5,Tabla243[[#This Row],[PVL]]*Tabla243[[#This Row],[ UNIDADES]],IF(Tabla243[[#This Row],[ UNIDADES]]&lt;12,Tabla243[[#This Row],[PVL]]*Tabla243[[#This Row],[ UNIDADES]]*0.8,Tabla243[[#This Row],[PVL]]*Tabla243[[#This Row],[ UNIDADES]]*0.75))</f>
        <v>0</v>
      </c>
      <c r="I112" s="260" t="s">
        <v>1040</v>
      </c>
    </row>
    <row r="113" spans="1:9" s="189" customFormat="1" ht="16.5" thickBot="1">
      <c r="A113" s="231">
        <v>398</v>
      </c>
      <c r="B113" s="232" t="s">
        <v>1054</v>
      </c>
      <c r="C113" s="216">
        <v>4.91</v>
      </c>
      <c r="D113" s="194">
        <v>7.95</v>
      </c>
      <c r="E113" s="194" t="s">
        <v>934</v>
      </c>
      <c r="F113" s="194" t="s">
        <v>935</v>
      </c>
      <c r="G113" s="196"/>
      <c r="H113" s="193">
        <f>IF(Tabla243[[#This Row],[ UNIDADES]]&lt;5,Tabla243[[#This Row],[PVL]]*Tabla243[[#This Row],[ UNIDADES]],IF(Tabla243[[#This Row],[ UNIDADES]]&lt;12,Tabla243[[#This Row],[PVL]]*Tabla243[[#This Row],[ UNIDADES]]*0.8,Tabla243[[#This Row],[PVL]]*Tabla243[[#This Row],[ UNIDADES]]*0.75))</f>
        <v>0</v>
      </c>
      <c r="I113" s="260" t="s">
        <v>1040</v>
      </c>
    </row>
    <row r="114" spans="1:9" s="189" customFormat="1" ht="16.5" thickBot="1">
      <c r="A114" s="231">
        <v>399</v>
      </c>
      <c r="B114" s="232" t="s">
        <v>1055</v>
      </c>
      <c r="C114" s="216">
        <v>6.15</v>
      </c>
      <c r="D114" s="194">
        <v>9.66</v>
      </c>
      <c r="E114" s="194" t="s">
        <v>934</v>
      </c>
      <c r="F114" s="194" t="s">
        <v>935</v>
      </c>
      <c r="G114" s="196"/>
      <c r="H114" s="193">
        <f>IF(Tabla243[[#This Row],[ UNIDADES]]&lt;5,Tabla243[[#This Row],[PVL]]*Tabla243[[#This Row],[ UNIDADES]],IF(Tabla243[[#This Row],[ UNIDADES]]&lt;12,Tabla243[[#This Row],[PVL]]*Tabla243[[#This Row],[ UNIDADES]]*0.8,Tabla243[[#This Row],[PVL]]*Tabla243[[#This Row],[ UNIDADES]]*0.75))</f>
        <v>0</v>
      </c>
      <c r="I114" s="260" t="s">
        <v>1040</v>
      </c>
    </row>
    <row r="115" spans="1:9" s="189" customFormat="1" ht="16.5" thickBot="1">
      <c r="A115" s="233">
        <v>412</v>
      </c>
      <c r="B115" s="234" t="s">
        <v>1056</v>
      </c>
      <c r="C115" s="223">
        <v>10.86</v>
      </c>
      <c r="D115" s="203">
        <v>19.91</v>
      </c>
      <c r="E115" s="203" t="s">
        <v>934</v>
      </c>
      <c r="F115" s="202" t="s">
        <v>935</v>
      </c>
      <c r="G115" s="196"/>
      <c r="H115" s="193">
        <f>IF(Tabla243[[#This Row],[ UNIDADES]]&lt;5,Tabla243[[#This Row],[PVL]]*Tabla243[[#This Row],[ UNIDADES]],IF(Tabla243[[#This Row],[ UNIDADES]]&lt;12,Tabla243[[#This Row],[PVL]]*Tabla243[[#This Row],[ UNIDADES]]*0.8,Tabla243[[#This Row],[PVL]]*Tabla243[[#This Row],[ UNIDADES]]*0.75))</f>
        <v>0</v>
      </c>
      <c r="I115" s="264" t="s">
        <v>1038</v>
      </c>
    </row>
    <row r="116" spans="1:9" s="189" customFormat="1" ht="19.5" thickBot="1">
      <c r="A116" s="235"/>
      <c r="B116" s="236" t="s">
        <v>1057</v>
      </c>
      <c r="C116" s="237"/>
      <c r="D116" s="237"/>
      <c r="E116" s="237"/>
      <c r="F116" s="237"/>
      <c r="G116" s="196"/>
      <c r="H116" s="269"/>
      <c r="I116" s="238"/>
    </row>
    <row r="117" spans="1:9" s="189" customFormat="1" ht="16.5" thickBot="1">
      <c r="A117" s="209">
        <v>190</v>
      </c>
      <c r="B117" s="210" t="s">
        <v>1058</v>
      </c>
      <c r="C117" s="211">
        <v>12.7</v>
      </c>
      <c r="D117" s="212">
        <v>19.95</v>
      </c>
      <c r="E117" s="213" t="s">
        <v>934</v>
      </c>
      <c r="F117" s="211" t="s">
        <v>935</v>
      </c>
      <c r="G117" s="196"/>
      <c r="H117" s="257">
        <f>IF(Tabla243[[#This Row],[ UNIDADES]]&lt;5,Tabla243[[#This Row],[PVL]]*Tabla243[[#This Row],[ UNIDADES]],IF(Tabla243[[#This Row],[ UNIDADES]]&lt;12,Tabla243[[#This Row],[PVL]]*Tabla243[[#This Row],[ UNIDADES]]*0.8,Tabla243[[#This Row],[PVL]]*Tabla243[[#This Row],[ UNIDADES]]*0.75))</f>
        <v>0</v>
      </c>
      <c r="I117" s="263" t="s">
        <v>1059</v>
      </c>
    </row>
    <row r="118" spans="1:9" s="189" customFormat="1" ht="16.5" thickBot="1">
      <c r="A118" s="214">
        <v>192</v>
      </c>
      <c r="B118" s="215" t="s">
        <v>1060</v>
      </c>
      <c r="C118" s="194">
        <v>16.739999999999998</v>
      </c>
      <c r="D118" s="216">
        <v>24.95</v>
      </c>
      <c r="E118" s="194" t="s">
        <v>934</v>
      </c>
      <c r="F118" s="194" t="s">
        <v>935</v>
      </c>
      <c r="G118" s="196"/>
      <c r="H118" s="193">
        <f>IF(Tabla243[[#This Row],[ UNIDADES]]&lt;5,Tabla243[[#This Row],[PVL]]*Tabla243[[#This Row],[ UNIDADES]],IF(Tabla243[[#This Row],[ UNIDADES]]&lt;12,Tabla243[[#This Row],[PVL]]*Tabla243[[#This Row],[ UNIDADES]]*0.8,Tabla243[[#This Row],[PVL]]*Tabla243[[#This Row],[ UNIDADES]]*0.75))</f>
        <v>0</v>
      </c>
      <c r="I118" s="260" t="s">
        <v>1059</v>
      </c>
    </row>
    <row r="119" spans="1:9" s="189" customFormat="1" ht="16.5" thickBot="1">
      <c r="A119" s="214">
        <v>348</v>
      </c>
      <c r="B119" s="215" t="s">
        <v>1061</v>
      </c>
      <c r="C119" s="194">
        <v>12.25</v>
      </c>
      <c r="D119" s="216">
        <v>19.95</v>
      </c>
      <c r="E119" s="194" t="s">
        <v>934</v>
      </c>
      <c r="F119" s="194" t="s">
        <v>935</v>
      </c>
      <c r="G119" s="196"/>
      <c r="H119" s="193">
        <f>IF(Tabla243[[#This Row],[ UNIDADES]]&lt;5,Tabla243[[#This Row],[PVL]]*Tabla243[[#This Row],[ UNIDADES]],IF(Tabla243[[#This Row],[ UNIDADES]]&lt;12,Tabla243[[#This Row],[PVL]]*Tabla243[[#This Row],[ UNIDADES]]*0.8,Tabla243[[#This Row],[PVL]]*Tabla243[[#This Row],[ UNIDADES]]*0.75))</f>
        <v>0</v>
      </c>
      <c r="I119" s="260" t="s">
        <v>1062</v>
      </c>
    </row>
    <row r="120" spans="1:9" s="189" customFormat="1" ht="16.5" thickBot="1">
      <c r="A120" s="214">
        <v>229</v>
      </c>
      <c r="B120" s="215" t="s">
        <v>1063</v>
      </c>
      <c r="C120" s="194">
        <v>12.4</v>
      </c>
      <c r="D120" s="216">
        <v>19.489999999999998</v>
      </c>
      <c r="E120" s="194" t="s">
        <v>934</v>
      </c>
      <c r="F120" s="194" t="s">
        <v>935</v>
      </c>
      <c r="G120" s="196"/>
      <c r="H120" s="193">
        <f>IF(Tabla243[[#This Row],[ UNIDADES]]&lt;5,Tabla243[[#This Row],[PVL]]*Tabla243[[#This Row],[ UNIDADES]],IF(Tabla243[[#This Row],[ UNIDADES]]&lt;12,Tabla243[[#This Row],[PVL]]*Tabla243[[#This Row],[ UNIDADES]]*0.8,Tabla243[[#This Row],[PVL]]*Tabla243[[#This Row],[ UNIDADES]]*0.75))</f>
        <v>0</v>
      </c>
      <c r="I120" s="260" t="s">
        <v>1059</v>
      </c>
    </row>
    <row r="121" spans="1:9" s="189" customFormat="1" ht="16.5" thickBot="1">
      <c r="A121" s="214">
        <v>235</v>
      </c>
      <c r="B121" s="215" t="s">
        <v>1064</v>
      </c>
      <c r="C121" s="194">
        <v>17.3</v>
      </c>
      <c r="D121" s="216">
        <v>26.806999999999999</v>
      </c>
      <c r="E121" s="194" t="s">
        <v>934</v>
      </c>
      <c r="F121" s="194" t="s">
        <v>935</v>
      </c>
      <c r="G121" s="196"/>
      <c r="H121" s="193">
        <f>IF(Tabla243[[#This Row],[ UNIDADES]]&lt;5,Tabla243[[#This Row],[PVL]]*Tabla243[[#This Row],[ UNIDADES]],IF(Tabla243[[#This Row],[ UNIDADES]]&lt;12,Tabla243[[#This Row],[PVL]]*Tabla243[[#This Row],[ UNIDADES]]*0.8,Tabla243[[#This Row],[PVL]]*Tabla243[[#This Row],[ UNIDADES]]*0.75))</f>
        <v>0</v>
      </c>
      <c r="I121" s="260" t="s">
        <v>1065</v>
      </c>
    </row>
    <row r="122" spans="1:9" s="189" customFormat="1" ht="16.5" thickBot="1">
      <c r="A122" s="214">
        <v>396</v>
      </c>
      <c r="B122" s="215" t="s">
        <v>1066</v>
      </c>
      <c r="C122" s="194">
        <v>4.9400000000000004</v>
      </c>
      <c r="D122" s="216">
        <v>7.76</v>
      </c>
      <c r="E122" s="194" t="s">
        <v>934</v>
      </c>
      <c r="F122" s="194" t="s">
        <v>935</v>
      </c>
      <c r="G122" s="196"/>
      <c r="H122" s="193">
        <f>IF(Tabla243[[#This Row],[ UNIDADES]]&lt;5,Tabla243[[#This Row],[PVL]]*Tabla243[[#This Row],[ UNIDADES]],IF(Tabla243[[#This Row],[ UNIDADES]]&lt;12,Tabla243[[#This Row],[PVL]]*Tabla243[[#This Row],[ UNIDADES]]*0.8,Tabla243[[#This Row],[PVL]]*Tabla243[[#This Row],[ UNIDADES]]*0.75))</f>
        <v>0</v>
      </c>
      <c r="I122" s="260" t="s">
        <v>1067</v>
      </c>
    </row>
    <row r="123" spans="1:9" s="189" customFormat="1" ht="16.5" thickBot="1">
      <c r="A123" s="214">
        <v>339</v>
      </c>
      <c r="B123" s="215" t="s">
        <v>1068</v>
      </c>
      <c r="C123" s="194">
        <v>14.21</v>
      </c>
      <c r="D123" s="216">
        <v>21.95</v>
      </c>
      <c r="E123" s="194" t="s">
        <v>934</v>
      </c>
      <c r="F123" s="194" t="s">
        <v>935</v>
      </c>
      <c r="G123" s="196"/>
      <c r="H123" s="193">
        <f>IF(Tabla243[[#This Row],[ UNIDADES]]&lt;5,Tabla243[[#This Row],[PVL]]*Tabla243[[#This Row],[ UNIDADES]],IF(Tabla243[[#This Row],[ UNIDADES]]&lt;12,Tabla243[[#This Row],[PVL]]*Tabla243[[#This Row],[ UNIDADES]]*0.8,Tabla243[[#This Row],[PVL]]*Tabla243[[#This Row],[ UNIDADES]]*0.75))</f>
        <v>0</v>
      </c>
      <c r="I123" s="260" t="s">
        <v>1062</v>
      </c>
    </row>
    <row r="124" spans="1:9" s="189" customFormat="1" ht="16.5" thickBot="1">
      <c r="A124" s="214">
        <v>345</v>
      </c>
      <c r="B124" s="215" t="s">
        <v>1069</v>
      </c>
      <c r="C124" s="194">
        <v>11.38</v>
      </c>
      <c r="D124" s="216">
        <v>17.5</v>
      </c>
      <c r="E124" s="194" t="s">
        <v>934</v>
      </c>
      <c r="F124" s="194" t="s">
        <v>935</v>
      </c>
      <c r="G124" s="196"/>
      <c r="H124" s="193">
        <f>IF(Tabla243[[#This Row],[ UNIDADES]]&lt;5,Tabla243[[#This Row],[PVL]]*Tabla243[[#This Row],[ UNIDADES]],IF(Tabla243[[#This Row],[ UNIDADES]]&lt;12,Tabla243[[#This Row],[PVL]]*Tabla243[[#This Row],[ UNIDADES]]*0.8,Tabla243[[#This Row],[PVL]]*Tabla243[[#This Row],[ UNIDADES]]*0.75))</f>
        <v>0</v>
      </c>
      <c r="I124" s="260" t="s">
        <v>1062</v>
      </c>
    </row>
    <row r="125" spans="1:9" s="189" customFormat="1" ht="16.5" customHeight="1" thickBot="1">
      <c r="A125" s="214">
        <v>349</v>
      </c>
      <c r="B125" s="215" t="s">
        <v>1070</v>
      </c>
      <c r="C125" s="194">
        <v>6.75</v>
      </c>
      <c r="D125" s="216">
        <v>10.5</v>
      </c>
      <c r="E125" s="194" t="s">
        <v>934</v>
      </c>
      <c r="F125" s="194" t="s">
        <v>935</v>
      </c>
      <c r="G125" s="196"/>
      <c r="H125" s="193">
        <f>IF(Tabla243[[#This Row],[ UNIDADES]]&lt;5,Tabla243[[#This Row],[PVL]]*Tabla243[[#This Row],[ UNIDADES]],IF(Tabla243[[#This Row],[ UNIDADES]]&lt;12,Tabla243[[#This Row],[PVL]]*Tabla243[[#This Row],[ UNIDADES]]*0.8,Tabla243[[#This Row],[PVL]]*Tabla243[[#This Row],[ UNIDADES]]*0.75))</f>
        <v>0</v>
      </c>
      <c r="I125" s="260" t="s">
        <v>1059</v>
      </c>
    </row>
    <row r="126" spans="1:9" s="189" customFormat="1" ht="16.5" thickBot="1">
      <c r="A126" s="214">
        <v>366</v>
      </c>
      <c r="B126" s="215" t="s">
        <v>1071</v>
      </c>
      <c r="C126" s="194">
        <v>8.3000000000000007</v>
      </c>
      <c r="D126" s="216">
        <v>13.05</v>
      </c>
      <c r="E126" s="194" t="s">
        <v>934</v>
      </c>
      <c r="F126" s="194" t="s">
        <v>935</v>
      </c>
      <c r="G126" s="196"/>
      <c r="H126" s="193">
        <f>IF(Tabla243[[#This Row],[ UNIDADES]]&lt;5,Tabla243[[#This Row],[PVL]]*Tabla243[[#This Row],[ UNIDADES]],IF(Tabla243[[#This Row],[ UNIDADES]]&lt;12,Tabla243[[#This Row],[PVL]]*Tabla243[[#This Row],[ UNIDADES]]*0.8,Tabla243[[#This Row],[PVL]]*Tabla243[[#This Row],[ UNIDADES]]*0.75))</f>
        <v>0</v>
      </c>
      <c r="I126" s="260" t="s">
        <v>1067</v>
      </c>
    </row>
    <row r="127" spans="1:9" s="189" customFormat="1" ht="16.5" thickBot="1">
      <c r="A127" s="214">
        <v>367</v>
      </c>
      <c r="B127" s="215" t="s">
        <v>1072</v>
      </c>
      <c r="C127" s="194">
        <v>9.4499999999999993</v>
      </c>
      <c r="D127" s="216">
        <v>14.85</v>
      </c>
      <c r="E127" s="194" t="s">
        <v>934</v>
      </c>
      <c r="F127" s="194" t="s">
        <v>935</v>
      </c>
      <c r="G127" s="196"/>
      <c r="H127" s="193">
        <f>IF(Tabla243[[#This Row],[ UNIDADES]]&lt;5,Tabla243[[#This Row],[PVL]]*Tabla243[[#This Row],[ UNIDADES]],IF(Tabla243[[#This Row],[ UNIDADES]]&lt;12,Tabla243[[#This Row],[PVL]]*Tabla243[[#This Row],[ UNIDADES]]*0.8,Tabla243[[#This Row],[PVL]]*Tabla243[[#This Row],[ UNIDADES]]*0.75))</f>
        <v>0</v>
      </c>
      <c r="I127" s="260" t="s">
        <v>1067</v>
      </c>
    </row>
    <row r="128" spans="1:9" s="189" customFormat="1" ht="16.5" thickBot="1">
      <c r="A128" s="214">
        <v>372</v>
      </c>
      <c r="B128" s="215" t="s">
        <v>1073</v>
      </c>
      <c r="C128" s="194">
        <v>11.61</v>
      </c>
      <c r="D128" s="216">
        <v>18.239999999999998</v>
      </c>
      <c r="E128" s="194" t="s">
        <v>934</v>
      </c>
      <c r="F128" s="194" t="s">
        <v>935</v>
      </c>
      <c r="G128" s="196"/>
      <c r="H128" s="193">
        <f>IF(Tabla243[[#This Row],[ UNIDADES]]&lt;5,Tabla243[[#This Row],[PVL]]*Tabla243[[#This Row],[ UNIDADES]],IF(Tabla243[[#This Row],[ UNIDADES]]&lt;12,Tabla243[[#This Row],[PVL]]*Tabla243[[#This Row],[ UNIDADES]]*0.8,Tabla243[[#This Row],[PVL]]*Tabla243[[#This Row],[ UNIDADES]]*0.75))</f>
        <v>0</v>
      </c>
      <c r="I128" s="260" t="s">
        <v>1062</v>
      </c>
    </row>
    <row r="129" spans="1:9" s="189" customFormat="1" ht="16.5" thickBot="1">
      <c r="A129" s="214">
        <v>402</v>
      </c>
      <c r="B129" s="215" t="s">
        <v>1074</v>
      </c>
      <c r="C129" s="194">
        <v>16.239999999999998</v>
      </c>
      <c r="D129" s="216">
        <v>25.5</v>
      </c>
      <c r="E129" s="194" t="s">
        <v>963</v>
      </c>
      <c r="F129" s="217"/>
      <c r="G129" s="196"/>
      <c r="H129" s="193">
        <f>IF(Tabla243[[#This Row],[ UNIDADES]]&lt;12,Tabla243[[#This Row],[PVL]]*Tabla243[[#This Row],[ UNIDADES]],Tabla243[[#This Row],[PVL]]*Tabla243[[#This Row],[ UNIDADES]]*0.9167)</f>
        <v>0</v>
      </c>
      <c r="I129" s="260" t="s">
        <v>1059</v>
      </c>
    </row>
    <row r="130" spans="1:9" s="189" customFormat="1" ht="16.5" thickBot="1">
      <c r="A130" s="214">
        <v>403</v>
      </c>
      <c r="B130" s="215" t="s">
        <v>1075</v>
      </c>
      <c r="C130" s="194">
        <v>21.64</v>
      </c>
      <c r="D130" s="216">
        <v>34</v>
      </c>
      <c r="E130" s="194" t="s">
        <v>963</v>
      </c>
      <c r="F130" s="217"/>
      <c r="G130" s="196"/>
      <c r="H130" s="193">
        <f>IF(Tabla243[[#This Row],[ UNIDADES]]&lt;12,Tabla243[[#This Row],[PVL]]*Tabla243[[#This Row],[ UNIDADES]],Tabla243[[#This Row],[PVL]]*Tabla243[[#This Row],[ UNIDADES]]*0.9167)</f>
        <v>0</v>
      </c>
      <c r="I130" s="260" t="s">
        <v>1059</v>
      </c>
    </row>
    <row r="131" spans="1:9" s="189" customFormat="1" ht="16.5" thickBot="1">
      <c r="A131" s="239">
        <v>418</v>
      </c>
      <c r="B131" s="240" t="s">
        <v>1076</v>
      </c>
      <c r="C131" s="241">
        <v>29.03</v>
      </c>
      <c r="D131" s="242">
        <v>53.25</v>
      </c>
      <c r="E131" s="241" t="s">
        <v>963</v>
      </c>
      <c r="F131" s="243"/>
      <c r="G131" s="258"/>
      <c r="H131" s="265">
        <f>IF(Tabla243[[#This Row],[ UNIDADES]]&lt;12,Tabla243[[#This Row],[PVL]]*Tabla243[[#This Row],[ UNIDADES]],Tabla243[[#This Row],[PVL]]*Tabla243[[#This Row],[ UNIDADES]]*0.9167)</f>
        <v>0</v>
      </c>
      <c r="I131" s="266" t="s">
        <v>1059</v>
      </c>
    </row>
    <row r="132" spans="1:9" s="189" customFormat="1" ht="28.5" customHeight="1" thickBot="1">
      <c r="A132" s="244"/>
      <c r="B132" s="245"/>
      <c r="C132" s="246"/>
      <c r="D132" s="246"/>
      <c r="E132" s="247"/>
      <c r="F132" s="248"/>
      <c r="G132" s="249"/>
      <c r="H132" s="270">
        <f>SUM(H14:H131)</f>
        <v>0</v>
      </c>
      <c r="I132" s="250"/>
    </row>
    <row r="133" spans="1:9" s="189" customFormat="1" ht="15.75">
      <c r="G133" s="251"/>
      <c r="H133" s="252"/>
      <c r="I133" s="250"/>
    </row>
    <row r="134" spans="1:9" s="189" customFormat="1" ht="15.75">
      <c r="G134" s="251"/>
      <c r="H134" s="252"/>
      <c r="I134" s="250"/>
    </row>
  </sheetData>
  <pageMargins left="0.7" right="0.7" top="0.75" bottom="0.75" header="0.3" footer="0.3"/>
  <pageSetup paperSize="9" orientation="portrait" horizontalDpi="0" verticalDpi="0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yracuseOfficeCustomData>{"createMode":"plain_doc","forceRefresh":"0"}</SyracuseOfficeCustomData>
</file>

<file path=customXml/itemProps1.xml><?xml version="1.0" encoding="utf-8"?>
<ds:datastoreItem xmlns:ds="http://schemas.openxmlformats.org/officeDocument/2006/customXml" ds:itemID="{2552554E-4A76-41B1-BD62-8834B9C01BD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PHARMA CALL</vt:lpstr>
      <vt:lpstr>HOSPIMED</vt:lpstr>
      <vt:lpstr>NATURLÍDER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Durich</dc:creator>
  <cp:lastModifiedBy>www.intercambiosvirtuales.org</cp:lastModifiedBy>
  <cp:lastPrinted>2022-10-17T08:06:57Z</cp:lastPrinted>
  <dcterms:created xsi:type="dcterms:W3CDTF">2014-11-20T09:02:52Z</dcterms:created>
  <dcterms:modified xsi:type="dcterms:W3CDTF">2022-10-24T11:44:27Z</dcterms:modified>
</cp:coreProperties>
</file>